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mc:AlternateContent xmlns:mc="http://schemas.openxmlformats.org/markup-compatibility/2006">
    <mc:Choice Requires="x15">
      <x15ac:absPath xmlns:x15ac="http://schemas.microsoft.com/office/spreadsheetml/2010/11/ac" url="/Users/rashmipillai/Dropbox/0 CGAP/0 External/1 Frontier Agents/3 OGE/2018/Model/Final Publishable Model/"/>
    </mc:Choice>
  </mc:AlternateContent>
  <xr:revisionPtr revIDLastSave="0" documentId="13_ncr:1_{91A30405-23E0-484E-B9DE-6776A460E093}" xr6:coauthVersionLast="32" xr6:coauthVersionMax="32" xr10:uidLastSave="{00000000-0000-0000-0000-000000000000}"/>
  <bookViews>
    <workbookView xWindow="0" yWindow="0" windowWidth="25600" windowHeight="16000" tabRatio="649" xr2:uid="{00000000-000D-0000-FFFF-FFFF00000000}"/>
  </bookViews>
  <sheets>
    <sheet name="HOME" sheetId="6" r:id="rId1"/>
    <sheet name="INSTRUCTIONS" sheetId="18" r:id="rId2"/>
    <sheet name="A1. BASE MODEL INPUTS" sheetId="1" r:id="rId3"/>
    <sheet name="A2. BASE MODEL" sheetId="2" r:id="rId4"/>
    <sheet name="A3. BASE GRAPHS" sheetId="21" r:id="rId5"/>
    <sheet name="B1. MASTER AGENT INPUTS" sheetId="10" r:id="rId6"/>
    <sheet name="B2. MASTER AGENT MODEL" sheetId="17" r:id="rId7"/>
    <sheet name="B3. MASTER AGENT GRAPHS" sheetId="22" r:id="rId8"/>
    <sheet name="B4. AGENT BREAK EVEN" sheetId="8" r:id="rId9"/>
  </sheets>
  <definedNames>
    <definedName name="_xlnm.Print_Area" localSheetId="2">'A1. BASE MODEL INPUTS'!$B$3:$F$23</definedName>
    <definedName name="_xlnm.Print_Area" localSheetId="5">'B1. MASTER AGENT INPUTS'!$B$3:$F$44</definedName>
  </definedName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7" i="17" l="1"/>
  <c r="B23" i="10" l="1"/>
  <c r="B25" i="10" s="1"/>
  <c r="C42" i="8"/>
  <c r="B58" i="10"/>
  <c r="B11" i="10" s="1"/>
  <c r="C63" i="10" l="1"/>
  <c r="P5" i="17" l="1"/>
  <c r="O5" i="17"/>
  <c r="N5" i="17"/>
  <c r="B55" i="2"/>
  <c r="C103" i="2"/>
  <c r="D103" i="2"/>
  <c r="E103" i="2"/>
  <c r="F103" i="2"/>
  <c r="G103" i="2"/>
  <c r="H103" i="2"/>
  <c r="I103" i="2"/>
  <c r="J103" i="2"/>
  <c r="K103" i="2"/>
  <c r="L103" i="2"/>
  <c r="M103" i="2"/>
  <c r="N103" i="2"/>
  <c r="O103" i="2"/>
  <c r="P103" i="2"/>
  <c r="Q103" i="2"/>
  <c r="R103" i="2"/>
  <c r="S103" i="2"/>
  <c r="T103" i="2"/>
  <c r="U103" i="2"/>
  <c r="V103" i="2"/>
  <c r="W103" i="2"/>
  <c r="X103" i="2"/>
  <c r="Y103" i="2"/>
  <c r="Z103" i="2"/>
  <c r="AA103" i="2"/>
  <c r="AB103" i="2"/>
  <c r="AC103" i="2"/>
  <c r="AD103" i="2"/>
  <c r="AE103" i="2"/>
  <c r="AF103" i="2"/>
  <c r="AG103" i="2"/>
  <c r="AH103" i="2"/>
  <c r="AI103" i="2"/>
  <c r="AJ103" i="2"/>
  <c r="AK103" i="2"/>
  <c r="C101" i="2"/>
  <c r="D101" i="2"/>
  <c r="E101" i="2"/>
  <c r="F101" i="2"/>
  <c r="G101" i="2"/>
  <c r="H101" i="2"/>
  <c r="I101" i="2"/>
  <c r="J101" i="2"/>
  <c r="K101" i="2"/>
  <c r="L101" i="2"/>
  <c r="M101" i="2"/>
  <c r="N101" i="2"/>
  <c r="O101" i="2"/>
  <c r="P101" i="2"/>
  <c r="Q101" i="2"/>
  <c r="R101" i="2"/>
  <c r="S101" i="2"/>
  <c r="T101" i="2"/>
  <c r="U101" i="2"/>
  <c r="V101" i="2"/>
  <c r="W101" i="2"/>
  <c r="X101" i="2"/>
  <c r="Y101" i="2"/>
  <c r="Z101" i="2"/>
  <c r="AA101" i="2"/>
  <c r="AB101" i="2"/>
  <c r="AC101" i="2"/>
  <c r="AD101" i="2"/>
  <c r="AE101" i="2"/>
  <c r="AF101" i="2"/>
  <c r="AG101" i="2"/>
  <c r="AH101" i="2"/>
  <c r="AI101" i="2"/>
  <c r="AJ101" i="2"/>
  <c r="AK101" i="2"/>
  <c r="B101" i="2"/>
  <c r="D98" i="2"/>
  <c r="E98" i="2"/>
  <c r="F98" i="2"/>
  <c r="G98" i="2"/>
  <c r="H98" i="2"/>
  <c r="I98" i="2"/>
  <c r="J98" i="2"/>
  <c r="K98" i="2"/>
  <c r="L98" i="2"/>
  <c r="M98" i="2"/>
  <c r="N98" i="2"/>
  <c r="O98" i="2"/>
  <c r="P98" i="2"/>
  <c r="Q98" i="2"/>
  <c r="R98" i="2"/>
  <c r="S98" i="2"/>
  <c r="T98" i="2"/>
  <c r="U98" i="2"/>
  <c r="V98" i="2"/>
  <c r="W98" i="2"/>
  <c r="X98" i="2"/>
  <c r="Y98" i="2"/>
  <c r="Z98" i="2"/>
  <c r="AA98" i="2"/>
  <c r="AB98" i="2"/>
  <c r="AC98" i="2"/>
  <c r="AD98" i="2"/>
  <c r="AE98" i="2"/>
  <c r="AF98" i="2"/>
  <c r="AG98" i="2"/>
  <c r="AH98" i="2"/>
  <c r="AI98" i="2"/>
  <c r="AJ98" i="2"/>
  <c r="AK98" i="2"/>
  <c r="C98" i="2"/>
  <c r="B97" i="2"/>
  <c r="A26" i="17"/>
  <c r="G7" i="1"/>
  <c r="Q5" i="17" l="1"/>
  <c r="E64" i="8"/>
  <c r="E65" i="8" s="1"/>
  <c r="C4" i="8"/>
  <c r="B86" i="10"/>
  <c r="E66" i="8" l="1"/>
  <c r="E67" i="8" l="1"/>
  <c r="E68" i="8" l="1"/>
  <c r="E69" i="8" l="1"/>
  <c r="E70" i="8" l="1"/>
  <c r="E71" i="8" l="1"/>
  <c r="E72" i="8" l="1"/>
  <c r="E73" i="8" l="1"/>
  <c r="E74" i="8" l="1"/>
  <c r="E75" i="8" l="1"/>
  <c r="E76" i="8" l="1"/>
  <c r="E77" i="8" l="1"/>
  <c r="E78" i="8" l="1"/>
  <c r="E79" i="8" l="1"/>
  <c r="E80" i="8" l="1"/>
  <c r="E81" i="8" l="1"/>
  <c r="E82" i="8" l="1"/>
  <c r="E83" i="8" l="1"/>
  <c r="E84" i="8" l="1"/>
  <c r="E85" i="8" l="1"/>
  <c r="E86" i="8" l="1"/>
  <c r="E87" i="8" l="1"/>
  <c r="E88" i="8" l="1"/>
  <c r="E89" i="8" l="1"/>
  <c r="E90" i="8" l="1"/>
  <c r="E91" i="8" l="1"/>
  <c r="E92" i="8" l="1"/>
  <c r="E93" i="8" l="1"/>
  <c r="E94" i="8" l="1"/>
  <c r="E95" i="8" l="1"/>
  <c r="E96" i="8" l="1"/>
  <c r="E97" i="8" l="1"/>
  <c r="E98" i="8" l="1"/>
  <c r="E99" i="8" l="1"/>
  <c r="E100" i="8" l="1"/>
  <c r="E101" i="8" l="1"/>
  <c r="E102" i="8" l="1"/>
  <c r="E103" i="8" l="1"/>
  <c r="E104" i="8" l="1"/>
  <c r="E105" i="8" l="1"/>
  <c r="E106" i="8" l="1"/>
  <c r="E107" i="8" l="1"/>
  <c r="E108" i="8" l="1"/>
  <c r="E109" i="8" l="1"/>
  <c r="E110" i="8" l="1"/>
  <c r="E111" i="8" l="1"/>
  <c r="E112" i="8" l="1"/>
  <c r="E113" i="8" l="1"/>
  <c r="E114" i="8" l="1"/>
  <c r="E115" i="8" l="1"/>
  <c r="E116" i="8" l="1"/>
  <c r="E117" i="8" l="1"/>
  <c r="E118" i="8" l="1"/>
  <c r="E119" i="8" l="1"/>
  <c r="E120" i="8" l="1"/>
  <c r="E121" i="8" l="1"/>
  <c r="E122" i="8" l="1"/>
  <c r="E123" i="8" l="1"/>
  <c r="E124" i="8" l="1"/>
  <c r="E125" i="8" l="1"/>
  <c r="E126" i="8" l="1"/>
  <c r="E127" i="8" l="1"/>
  <c r="E128" i="8" l="1"/>
  <c r="E129" i="8" l="1"/>
  <c r="E130" i="8" l="1"/>
  <c r="E131" i="8" l="1"/>
  <c r="E132" i="8" l="1"/>
  <c r="E133" i="8" l="1"/>
  <c r="E134" i="8" l="1"/>
  <c r="E135" i="8" l="1"/>
  <c r="E136" i="8" l="1"/>
  <c r="E137" i="8" l="1"/>
  <c r="E138" i="8" l="1"/>
  <c r="E139" i="8" l="1"/>
  <c r="E140" i="8" l="1"/>
  <c r="E141" i="8" l="1"/>
  <c r="E142" i="8" l="1"/>
  <c r="E143" i="8" l="1"/>
  <c r="C32" i="8" l="1"/>
  <c r="E36" i="10"/>
  <c r="E37" i="10" s="1"/>
  <c r="C8" i="8"/>
  <c r="C16" i="8"/>
  <c r="E32" i="10"/>
  <c r="B41" i="10"/>
  <c r="E38" i="10" l="1"/>
  <c r="C17" i="8" s="1"/>
  <c r="C18" i="8" s="1"/>
  <c r="B20" i="10"/>
  <c r="B64" i="10" s="1"/>
  <c r="E40" i="10"/>
  <c r="E41" i="10" s="1"/>
  <c r="C33" i="8" s="1"/>
  <c r="C34" i="8" s="1"/>
  <c r="B42" i="10"/>
  <c r="B74" i="10"/>
  <c r="E69" i="10" s="1"/>
  <c r="A97" i="2"/>
  <c r="A98" i="2"/>
  <c r="A96" i="2"/>
  <c r="A91" i="2"/>
  <c r="A92" i="2"/>
  <c r="A93" i="2"/>
  <c r="A90" i="2"/>
  <c r="A83" i="2"/>
  <c r="A82" i="2"/>
  <c r="A79" i="2"/>
  <c r="A76" i="2"/>
  <c r="A77" i="2"/>
  <c r="A78" i="2"/>
  <c r="A75" i="2"/>
  <c r="A74" i="2"/>
  <c r="A101" i="2"/>
  <c r="A100" i="2"/>
  <c r="A72" i="2"/>
  <c r="A69" i="2"/>
  <c r="A70" i="2"/>
  <c r="A71" i="2"/>
  <c r="A68" i="2"/>
  <c r="H5" i="2"/>
  <c r="E19" i="10" l="1"/>
  <c r="C19" i="8" s="1"/>
  <c r="C5" i="8"/>
  <c r="E22" i="10"/>
  <c r="C27" i="8" s="1"/>
  <c r="E17" i="10"/>
  <c r="C11" i="8" s="1"/>
  <c r="E24" i="10"/>
  <c r="E72" i="10"/>
  <c r="E71" i="10"/>
  <c r="E68" i="10"/>
  <c r="E70" i="10"/>
  <c r="E73" i="10"/>
  <c r="C35" i="8" l="1"/>
  <c r="C36" i="8" s="1"/>
  <c r="C37" i="8" l="1"/>
  <c r="B8" i="1" l="1"/>
  <c r="B16" i="1"/>
  <c r="C52" i="8" l="1"/>
  <c r="F67" i="8" l="1"/>
  <c r="F71" i="8"/>
  <c r="F75" i="8"/>
  <c r="F79" i="8"/>
  <c r="F83" i="8"/>
  <c r="F87" i="8"/>
  <c r="F91" i="8"/>
  <c r="F95" i="8"/>
  <c r="F99" i="8"/>
  <c r="F103" i="8"/>
  <c r="F107" i="8"/>
  <c r="F111" i="8"/>
  <c r="F115" i="8"/>
  <c r="F69" i="8"/>
  <c r="F74" i="8"/>
  <c r="F80" i="8"/>
  <c r="F85" i="8"/>
  <c r="F90" i="8"/>
  <c r="F96" i="8"/>
  <c r="F101" i="8"/>
  <c r="F106" i="8"/>
  <c r="F112" i="8"/>
  <c r="F117" i="8"/>
  <c r="F121" i="8"/>
  <c r="F125" i="8"/>
  <c r="F129" i="8"/>
  <c r="F133" i="8"/>
  <c r="F137" i="8"/>
  <c r="F141" i="8"/>
  <c r="F65" i="8"/>
  <c r="F70" i="8"/>
  <c r="F76" i="8"/>
  <c r="F81" i="8"/>
  <c r="F86" i="8"/>
  <c r="F92" i="8"/>
  <c r="F97" i="8"/>
  <c r="F102" i="8"/>
  <c r="F108" i="8"/>
  <c r="F113" i="8"/>
  <c r="F118" i="8"/>
  <c r="F122" i="8"/>
  <c r="F126" i="8"/>
  <c r="F130" i="8"/>
  <c r="F134" i="8"/>
  <c r="F138" i="8"/>
  <c r="F142" i="8"/>
  <c r="F72" i="8"/>
  <c r="F82" i="8"/>
  <c r="F93" i="8"/>
  <c r="F104" i="8"/>
  <c r="F114" i="8"/>
  <c r="F123" i="8"/>
  <c r="F131" i="8"/>
  <c r="F139" i="8"/>
  <c r="F116" i="8"/>
  <c r="F77" i="8"/>
  <c r="F88" i="8"/>
  <c r="F109" i="8"/>
  <c r="F127" i="8"/>
  <c r="F143" i="8"/>
  <c r="F78" i="8"/>
  <c r="F100" i="8"/>
  <c r="F120" i="8"/>
  <c r="F136" i="8"/>
  <c r="F73" i="8"/>
  <c r="F84" i="8"/>
  <c r="F94" i="8"/>
  <c r="F105" i="8"/>
  <c r="F124" i="8"/>
  <c r="F132" i="8"/>
  <c r="F140" i="8"/>
  <c r="F66" i="8"/>
  <c r="F98" i="8"/>
  <c r="F119" i="8"/>
  <c r="F135" i="8"/>
  <c r="F68" i="8"/>
  <c r="F89" i="8"/>
  <c r="F110" i="8"/>
  <c r="F128" i="8"/>
  <c r="F64" i="8"/>
  <c r="B43" i="10"/>
  <c r="B44" i="10" s="1"/>
  <c r="C25" i="8" s="1"/>
  <c r="B37" i="10"/>
  <c r="B38" i="10" s="1"/>
  <c r="C9" i="8" s="1"/>
  <c r="C10" i="8" s="1"/>
  <c r="E9" i="1" l="1"/>
  <c r="E23" i="10" s="1"/>
  <c r="B14" i="1"/>
  <c r="B15" i="1" s="1"/>
  <c r="C24" i="8" l="1"/>
  <c r="C26" i="8" s="1"/>
  <c r="C28" i="8" s="1"/>
  <c r="B12" i="17"/>
  <c r="B14" i="17" s="1"/>
  <c r="B13" i="17"/>
  <c r="B12" i="2"/>
  <c r="B13" i="2" s="1"/>
  <c r="E29" i="10"/>
  <c r="E30" i="10" s="1"/>
  <c r="E31" i="10" s="1"/>
  <c r="B66" i="17"/>
  <c r="B67" i="17"/>
  <c r="C67" i="17"/>
  <c r="D67" i="17"/>
  <c r="E67" i="17"/>
  <c r="F67" i="17"/>
  <c r="G67" i="17"/>
  <c r="H67" i="17"/>
  <c r="I67" i="17"/>
  <c r="J67" i="17"/>
  <c r="K67" i="17"/>
  <c r="L67" i="17"/>
  <c r="M67" i="17"/>
  <c r="N67" i="17"/>
  <c r="O67" i="17"/>
  <c r="P67" i="17"/>
  <c r="Q67" i="17"/>
  <c r="R67" i="17"/>
  <c r="S67" i="17"/>
  <c r="T67" i="17"/>
  <c r="U67" i="17"/>
  <c r="V67" i="17"/>
  <c r="W67" i="17"/>
  <c r="X67" i="17"/>
  <c r="Y67" i="17"/>
  <c r="Z67" i="17"/>
  <c r="AA67" i="17"/>
  <c r="AB67" i="17"/>
  <c r="AC67" i="17"/>
  <c r="AD67" i="17"/>
  <c r="AE67" i="17"/>
  <c r="AF67" i="17"/>
  <c r="AG67" i="17"/>
  <c r="AH67" i="17"/>
  <c r="AI67" i="17"/>
  <c r="AJ67" i="17"/>
  <c r="AK67" i="17"/>
  <c r="B62" i="2"/>
  <c r="B63" i="2"/>
  <c r="C92" i="2"/>
  <c r="C93" i="2" s="1"/>
  <c r="D92" i="2"/>
  <c r="D93" i="2" s="1"/>
  <c r="E92" i="2"/>
  <c r="E93" i="2" s="1"/>
  <c r="F92" i="2"/>
  <c r="F93" i="2" s="1"/>
  <c r="G92" i="2"/>
  <c r="G93" i="2" s="1"/>
  <c r="H92" i="2"/>
  <c r="H93" i="2" s="1"/>
  <c r="I92" i="2"/>
  <c r="I93" i="2" s="1"/>
  <c r="J92" i="2"/>
  <c r="J93" i="2" s="1"/>
  <c r="K92" i="2"/>
  <c r="K93" i="2" s="1"/>
  <c r="L92" i="2"/>
  <c r="L93" i="2" s="1"/>
  <c r="M92" i="2"/>
  <c r="M93" i="2" s="1"/>
  <c r="N92" i="2"/>
  <c r="N93" i="2" s="1"/>
  <c r="O92" i="2"/>
  <c r="O93" i="2" s="1"/>
  <c r="P92" i="2"/>
  <c r="P93" i="2" s="1"/>
  <c r="Q92" i="2"/>
  <c r="Q93" i="2" s="1"/>
  <c r="R92" i="2"/>
  <c r="R93" i="2" s="1"/>
  <c r="S92" i="2"/>
  <c r="S93" i="2" s="1"/>
  <c r="T92" i="2"/>
  <c r="T93" i="2" s="1"/>
  <c r="U92" i="2"/>
  <c r="U93" i="2" s="1"/>
  <c r="V92" i="2"/>
  <c r="V93" i="2" s="1"/>
  <c r="W92" i="2"/>
  <c r="W93" i="2" s="1"/>
  <c r="X92" i="2"/>
  <c r="X93" i="2" s="1"/>
  <c r="Y92" i="2"/>
  <c r="Y93" i="2" s="1"/>
  <c r="Z92" i="2"/>
  <c r="Z93" i="2" s="1"/>
  <c r="AA92" i="2"/>
  <c r="AA93" i="2" s="1"/>
  <c r="AB92" i="2"/>
  <c r="AB93" i="2" s="1"/>
  <c r="AC92" i="2"/>
  <c r="AC93" i="2" s="1"/>
  <c r="AD92" i="2"/>
  <c r="AD93" i="2" s="1"/>
  <c r="AE92" i="2"/>
  <c r="AE93" i="2" s="1"/>
  <c r="AF92" i="2"/>
  <c r="AF93" i="2" s="1"/>
  <c r="AG92" i="2"/>
  <c r="AG93" i="2" s="1"/>
  <c r="AH92" i="2"/>
  <c r="AH93" i="2" s="1"/>
  <c r="AI92" i="2"/>
  <c r="AI93" i="2" s="1"/>
  <c r="AJ92" i="2"/>
  <c r="AJ93" i="2" s="1"/>
  <c r="AK92" i="2"/>
  <c r="AK93" i="2" s="1"/>
  <c r="B92" i="2"/>
  <c r="B93" i="2" s="1"/>
  <c r="B22" i="10"/>
  <c r="B21" i="10"/>
  <c r="C45" i="8"/>
  <c r="C46" i="8"/>
  <c r="B78" i="2"/>
  <c r="C78" i="2"/>
  <c r="D78" i="2"/>
  <c r="F78" i="2"/>
  <c r="G78" i="2"/>
  <c r="H78" i="2"/>
  <c r="J78" i="2"/>
  <c r="K78" i="2"/>
  <c r="L78" i="2"/>
  <c r="N78" i="2"/>
  <c r="O78" i="2"/>
  <c r="Q78" i="2"/>
  <c r="R78" i="2"/>
  <c r="S78" i="2"/>
  <c r="U78" i="2"/>
  <c r="V78" i="2"/>
  <c r="W78" i="2"/>
  <c r="Y78" i="2"/>
  <c r="Z78" i="2"/>
  <c r="AB78" i="2"/>
  <c r="AC78" i="2"/>
  <c r="AD78" i="2"/>
  <c r="AF78" i="2"/>
  <c r="AG78" i="2"/>
  <c r="AH78" i="2"/>
  <c r="AJ78" i="2"/>
  <c r="AK78" i="2"/>
  <c r="C47" i="8" l="1"/>
  <c r="C53" i="8" s="1"/>
  <c r="C29" i="8"/>
  <c r="B14" i="2"/>
  <c r="B15" i="2" s="1"/>
  <c r="B40" i="2" s="1"/>
  <c r="B18" i="17"/>
  <c r="B19" i="17" s="1"/>
  <c r="B18" i="2"/>
  <c r="B19" i="2" s="1"/>
  <c r="C20" i="8"/>
  <c r="B68" i="2"/>
  <c r="B69" i="2" s="1"/>
  <c r="B15" i="17"/>
  <c r="C12" i="8"/>
  <c r="E78" i="2"/>
  <c r="I78" i="2"/>
  <c r="M78" i="2"/>
  <c r="P78" i="2"/>
  <c r="T78" i="2"/>
  <c r="X78" i="2"/>
  <c r="AA78" i="2"/>
  <c r="AE78" i="2"/>
  <c r="AI78" i="2"/>
  <c r="B64" i="2"/>
  <c r="C54" i="8" l="1"/>
  <c r="G65" i="8"/>
  <c r="H65" i="8" s="1"/>
  <c r="G64" i="8"/>
  <c r="H64" i="8" s="1"/>
  <c r="G66" i="8"/>
  <c r="H66" i="8" s="1"/>
  <c r="G67" i="8"/>
  <c r="H67" i="8" s="1"/>
  <c r="G68" i="8"/>
  <c r="H68" i="8" s="1"/>
  <c r="G69" i="8"/>
  <c r="H69" i="8" s="1"/>
  <c r="G70" i="8"/>
  <c r="H70" i="8" s="1"/>
  <c r="G71" i="8"/>
  <c r="H71" i="8" s="1"/>
  <c r="G72" i="8"/>
  <c r="H72" i="8" s="1"/>
  <c r="G73" i="8"/>
  <c r="H73" i="8" s="1"/>
  <c r="G74" i="8"/>
  <c r="H74" i="8" s="1"/>
  <c r="G75" i="8"/>
  <c r="H75" i="8" s="1"/>
  <c r="G76" i="8"/>
  <c r="H76" i="8" s="1"/>
  <c r="G77" i="8"/>
  <c r="H77" i="8" s="1"/>
  <c r="G78" i="8"/>
  <c r="H78" i="8" s="1"/>
  <c r="G79" i="8"/>
  <c r="H79" i="8" s="1"/>
  <c r="G80" i="8"/>
  <c r="H80" i="8" s="1"/>
  <c r="G81" i="8"/>
  <c r="H81" i="8" s="1"/>
  <c r="G82" i="8"/>
  <c r="H82" i="8" s="1"/>
  <c r="G83" i="8"/>
  <c r="H83" i="8" s="1"/>
  <c r="G84" i="8"/>
  <c r="H84" i="8" s="1"/>
  <c r="G85" i="8"/>
  <c r="H85" i="8" s="1"/>
  <c r="G86" i="8"/>
  <c r="H86" i="8" s="1"/>
  <c r="G87" i="8"/>
  <c r="H87" i="8" s="1"/>
  <c r="G88" i="8"/>
  <c r="H88" i="8" s="1"/>
  <c r="G89" i="8"/>
  <c r="H89" i="8" s="1"/>
  <c r="G90" i="8"/>
  <c r="H90" i="8" s="1"/>
  <c r="G91" i="8"/>
  <c r="H91" i="8" s="1"/>
  <c r="G92" i="8"/>
  <c r="H92" i="8" s="1"/>
  <c r="G93" i="8"/>
  <c r="H93" i="8" s="1"/>
  <c r="G94" i="8"/>
  <c r="H94" i="8" s="1"/>
  <c r="G95" i="8"/>
  <c r="H95" i="8" s="1"/>
  <c r="G96" i="8"/>
  <c r="H96" i="8" s="1"/>
  <c r="G97" i="8"/>
  <c r="H97" i="8" s="1"/>
  <c r="G98" i="8"/>
  <c r="H98" i="8" s="1"/>
  <c r="G99" i="8"/>
  <c r="H99" i="8" s="1"/>
  <c r="G100" i="8"/>
  <c r="H100" i="8" s="1"/>
  <c r="G101" i="8"/>
  <c r="H101" i="8" s="1"/>
  <c r="G102" i="8"/>
  <c r="H102" i="8" s="1"/>
  <c r="G103" i="8"/>
  <c r="H103" i="8" s="1"/>
  <c r="G104" i="8"/>
  <c r="H104" i="8" s="1"/>
  <c r="G105" i="8"/>
  <c r="H105" i="8" s="1"/>
  <c r="G106" i="8"/>
  <c r="H106" i="8" s="1"/>
  <c r="G107" i="8"/>
  <c r="H107" i="8" s="1"/>
  <c r="G108" i="8"/>
  <c r="H108" i="8" s="1"/>
  <c r="G109" i="8"/>
  <c r="H109" i="8" s="1"/>
  <c r="G110" i="8"/>
  <c r="H110" i="8" s="1"/>
  <c r="G111" i="8"/>
  <c r="H111" i="8" s="1"/>
  <c r="G112" i="8"/>
  <c r="H112" i="8" s="1"/>
  <c r="G113" i="8"/>
  <c r="H113" i="8" s="1"/>
  <c r="G114" i="8"/>
  <c r="H114" i="8" s="1"/>
  <c r="G115" i="8"/>
  <c r="H115" i="8" s="1"/>
  <c r="G116" i="8"/>
  <c r="H116" i="8" s="1"/>
  <c r="G117" i="8"/>
  <c r="H117" i="8" s="1"/>
  <c r="G118" i="8"/>
  <c r="H118" i="8" s="1"/>
  <c r="G119" i="8"/>
  <c r="H119" i="8" s="1"/>
  <c r="G120" i="8"/>
  <c r="H120" i="8" s="1"/>
  <c r="G121" i="8"/>
  <c r="H121" i="8" s="1"/>
  <c r="G122" i="8"/>
  <c r="H122" i="8" s="1"/>
  <c r="G123" i="8"/>
  <c r="H123" i="8" s="1"/>
  <c r="G124" i="8"/>
  <c r="H124" i="8" s="1"/>
  <c r="G125" i="8"/>
  <c r="H125" i="8" s="1"/>
  <c r="G126" i="8"/>
  <c r="H126" i="8" s="1"/>
  <c r="G127" i="8"/>
  <c r="H127" i="8" s="1"/>
  <c r="G128" i="8"/>
  <c r="H128" i="8" s="1"/>
  <c r="G129" i="8"/>
  <c r="H129" i="8" s="1"/>
  <c r="G130" i="8"/>
  <c r="H130" i="8" s="1"/>
  <c r="G131" i="8"/>
  <c r="H131" i="8" s="1"/>
  <c r="G132" i="8"/>
  <c r="H132" i="8" s="1"/>
  <c r="G133" i="8"/>
  <c r="H133" i="8" s="1"/>
  <c r="G134" i="8"/>
  <c r="H134" i="8" s="1"/>
  <c r="G135" i="8"/>
  <c r="H135" i="8" s="1"/>
  <c r="G136" i="8"/>
  <c r="H136" i="8" s="1"/>
  <c r="G137" i="8"/>
  <c r="H137" i="8" s="1"/>
  <c r="G138" i="8"/>
  <c r="H138" i="8" s="1"/>
  <c r="G139" i="8"/>
  <c r="H139" i="8" s="1"/>
  <c r="G140" i="8"/>
  <c r="H140" i="8" s="1"/>
  <c r="G141" i="8"/>
  <c r="H141" i="8" s="1"/>
  <c r="G142" i="8"/>
  <c r="H142" i="8" s="1"/>
  <c r="G143" i="8"/>
  <c r="H143" i="8" s="1"/>
  <c r="C39" i="8"/>
  <c r="C49" i="8" s="1"/>
  <c r="B27" i="17"/>
  <c r="B28" i="17" s="1"/>
  <c r="B52" i="17"/>
  <c r="B53" i="17" s="1"/>
  <c r="B54" i="17" s="1"/>
  <c r="B55" i="17" s="1"/>
  <c r="B32" i="17"/>
  <c r="B33" i="17" s="1"/>
  <c r="B20" i="17"/>
  <c r="B27" i="2"/>
  <c r="B28" i="2" s="1"/>
  <c r="B20" i="2"/>
  <c r="B32" i="2"/>
  <c r="B33" i="2" s="1"/>
  <c r="C21" i="8"/>
  <c r="C13" i="8"/>
  <c r="B25" i="2"/>
  <c r="B26" i="2" s="1"/>
  <c r="B41" i="2"/>
  <c r="B42" i="2" s="1"/>
  <c r="B43" i="2" s="1"/>
  <c r="B25" i="17"/>
  <c r="C12" i="17"/>
  <c r="B76" i="2"/>
  <c r="B79" i="2" s="1"/>
  <c r="F76" i="2"/>
  <c r="F79" i="2" s="1"/>
  <c r="J76" i="2"/>
  <c r="J79" i="2" s="1"/>
  <c r="Q76" i="2"/>
  <c r="Q79" i="2" s="1"/>
  <c r="U76" i="2"/>
  <c r="U79" i="2" s="1"/>
  <c r="Y76" i="2"/>
  <c r="Y79" i="2" s="1"/>
  <c r="AB76" i="2"/>
  <c r="AB79" i="2" s="1"/>
  <c r="AF76" i="2"/>
  <c r="AF79" i="2" s="1"/>
  <c r="AJ76" i="2"/>
  <c r="AJ79" i="2" s="1"/>
  <c r="E76" i="2"/>
  <c r="E79" i="2" s="1"/>
  <c r="H76" i="2"/>
  <c r="H79" i="2" s="1"/>
  <c r="K76" i="2"/>
  <c r="K79" i="2" s="1"/>
  <c r="O76" i="2"/>
  <c r="O79" i="2" s="1"/>
  <c r="R76" i="2"/>
  <c r="R79" i="2" s="1"/>
  <c r="AI76" i="2"/>
  <c r="AI79" i="2" s="1"/>
  <c r="D76" i="2"/>
  <c r="D79" i="2" s="1"/>
  <c r="G76" i="2"/>
  <c r="G79" i="2" s="1"/>
  <c r="N76" i="2"/>
  <c r="N79" i="2" s="1"/>
  <c r="AE76" i="2"/>
  <c r="AE79" i="2" s="1"/>
  <c r="AK76" i="2"/>
  <c r="AK79" i="2" s="1"/>
  <c r="M76" i="2"/>
  <c r="M79" i="2" s="1"/>
  <c r="W76" i="2"/>
  <c r="W79" i="2" s="1"/>
  <c r="AD76" i="2"/>
  <c r="AD79" i="2" s="1"/>
  <c r="X76" i="2"/>
  <c r="X79" i="2" s="1"/>
  <c r="AH76" i="2"/>
  <c r="AH79" i="2" s="1"/>
  <c r="C76" i="2"/>
  <c r="C79" i="2" s="1"/>
  <c r="T76" i="2"/>
  <c r="T79" i="2" s="1"/>
  <c r="AA76" i="2"/>
  <c r="AA79" i="2" s="1"/>
  <c r="AG76" i="2"/>
  <c r="AG79" i="2" s="1"/>
  <c r="I76" i="2"/>
  <c r="I79" i="2" s="1"/>
  <c r="S76" i="2"/>
  <c r="S79" i="2" s="1"/>
  <c r="Z76" i="2"/>
  <c r="Z79" i="2" s="1"/>
  <c r="P76" i="2"/>
  <c r="P79" i="2" s="1"/>
  <c r="L76" i="2"/>
  <c r="L79" i="2" s="1"/>
  <c r="V76" i="2"/>
  <c r="V79" i="2" s="1"/>
  <c r="AC76" i="2"/>
  <c r="AC79" i="2" s="1"/>
  <c r="C12" i="2"/>
  <c r="B65" i="2"/>
  <c r="C59" i="8" l="1"/>
  <c r="I65" i="8"/>
  <c r="J65" i="8" s="1"/>
  <c r="I64" i="8"/>
  <c r="J64" i="8" s="1"/>
  <c r="I66" i="8"/>
  <c r="J66" i="8" s="1"/>
  <c r="I67" i="8"/>
  <c r="J67" i="8" s="1"/>
  <c r="I68" i="8"/>
  <c r="J68" i="8" s="1"/>
  <c r="I69" i="8"/>
  <c r="J69" i="8" s="1"/>
  <c r="I70" i="8"/>
  <c r="J70" i="8" s="1"/>
  <c r="I71" i="8"/>
  <c r="J71" i="8" s="1"/>
  <c r="I72" i="8"/>
  <c r="J72" i="8" s="1"/>
  <c r="I73" i="8"/>
  <c r="J73" i="8" s="1"/>
  <c r="I74" i="8"/>
  <c r="J74" i="8" s="1"/>
  <c r="I75" i="8"/>
  <c r="J75" i="8" s="1"/>
  <c r="I76" i="8"/>
  <c r="J76" i="8" s="1"/>
  <c r="I77" i="8"/>
  <c r="J77" i="8" s="1"/>
  <c r="I78" i="8"/>
  <c r="J78" i="8" s="1"/>
  <c r="I79" i="8"/>
  <c r="J79" i="8" s="1"/>
  <c r="I80" i="8"/>
  <c r="J80" i="8" s="1"/>
  <c r="I81" i="8"/>
  <c r="J81" i="8" s="1"/>
  <c r="I82" i="8"/>
  <c r="J82" i="8" s="1"/>
  <c r="I83" i="8"/>
  <c r="J83" i="8" s="1"/>
  <c r="I84" i="8"/>
  <c r="J84" i="8" s="1"/>
  <c r="I85" i="8"/>
  <c r="J85" i="8" s="1"/>
  <c r="I86" i="8"/>
  <c r="J86" i="8" s="1"/>
  <c r="I87" i="8"/>
  <c r="J87" i="8" s="1"/>
  <c r="I88" i="8"/>
  <c r="J88" i="8" s="1"/>
  <c r="I89" i="8"/>
  <c r="J89" i="8" s="1"/>
  <c r="I90" i="8"/>
  <c r="J90" i="8" s="1"/>
  <c r="I91" i="8"/>
  <c r="J91" i="8" s="1"/>
  <c r="I92" i="8"/>
  <c r="J92" i="8" s="1"/>
  <c r="I93" i="8"/>
  <c r="J93" i="8" s="1"/>
  <c r="I94" i="8"/>
  <c r="J94" i="8" s="1"/>
  <c r="I95" i="8"/>
  <c r="J95" i="8" s="1"/>
  <c r="I96" i="8"/>
  <c r="J96" i="8" s="1"/>
  <c r="I97" i="8"/>
  <c r="J97" i="8" s="1"/>
  <c r="I98" i="8"/>
  <c r="J98" i="8" s="1"/>
  <c r="I99" i="8"/>
  <c r="J99" i="8" s="1"/>
  <c r="I100" i="8"/>
  <c r="J100" i="8" s="1"/>
  <c r="I101" i="8"/>
  <c r="J101" i="8" s="1"/>
  <c r="I102" i="8"/>
  <c r="J102" i="8" s="1"/>
  <c r="I103" i="8"/>
  <c r="J103" i="8" s="1"/>
  <c r="I104" i="8"/>
  <c r="J104" i="8" s="1"/>
  <c r="I105" i="8"/>
  <c r="J105" i="8" s="1"/>
  <c r="I106" i="8"/>
  <c r="J106" i="8" s="1"/>
  <c r="I107" i="8"/>
  <c r="J107" i="8" s="1"/>
  <c r="I108" i="8"/>
  <c r="J108" i="8" s="1"/>
  <c r="I109" i="8"/>
  <c r="J109" i="8" s="1"/>
  <c r="I110" i="8"/>
  <c r="J110" i="8" s="1"/>
  <c r="I111" i="8"/>
  <c r="J111" i="8" s="1"/>
  <c r="I112" i="8"/>
  <c r="J112" i="8" s="1"/>
  <c r="I113" i="8"/>
  <c r="J113" i="8" s="1"/>
  <c r="I114" i="8"/>
  <c r="J114" i="8" s="1"/>
  <c r="I115" i="8"/>
  <c r="J115" i="8" s="1"/>
  <c r="I116" i="8"/>
  <c r="J116" i="8" s="1"/>
  <c r="I117" i="8"/>
  <c r="J117" i="8" s="1"/>
  <c r="I118" i="8"/>
  <c r="J118" i="8" s="1"/>
  <c r="I119" i="8"/>
  <c r="J119" i="8" s="1"/>
  <c r="I120" i="8"/>
  <c r="J120" i="8" s="1"/>
  <c r="I121" i="8"/>
  <c r="J121" i="8" s="1"/>
  <c r="I122" i="8"/>
  <c r="J122" i="8" s="1"/>
  <c r="I123" i="8"/>
  <c r="J123" i="8" s="1"/>
  <c r="I124" i="8"/>
  <c r="J124" i="8" s="1"/>
  <c r="I125" i="8"/>
  <c r="J125" i="8" s="1"/>
  <c r="I126" i="8"/>
  <c r="J126" i="8" s="1"/>
  <c r="I127" i="8"/>
  <c r="J127" i="8" s="1"/>
  <c r="I128" i="8"/>
  <c r="J128" i="8" s="1"/>
  <c r="I129" i="8"/>
  <c r="J129" i="8" s="1"/>
  <c r="I130" i="8"/>
  <c r="J130" i="8" s="1"/>
  <c r="I131" i="8"/>
  <c r="J131" i="8" s="1"/>
  <c r="I132" i="8"/>
  <c r="J132" i="8" s="1"/>
  <c r="I133" i="8"/>
  <c r="J133" i="8" s="1"/>
  <c r="I134" i="8"/>
  <c r="J134" i="8" s="1"/>
  <c r="I135" i="8"/>
  <c r="J135" i="8" s="1"/>
  <c r="I136" i="8"/>
  <c r="J136" i="8" s="1"/>
  <c r="I137" i="8"/>
  <c r="J137" i="8" s="1"/>
  <c r="I138" i="8"/>
  <c r="J138" i="8" s="1"/>
  <c r="I139" i="8"/>
  <c r="J139" i="8" s="1"/>
  <c r="I140" i="8"/>
  <c r="J140" i="8" s="1"/>
  <c r="I141" i="8"/>
  <c r="J141" i="8" s="1"/>
  <c r="I142" i="8"/>
  <c r="J142" i="8" s="1"/>
  <c r="I143" i="8"/>
  <c r="J143" i="8" s="1"/>
  <c r="B21" i="2"/>
  <c r="B22" i="2" s="1"/>
  <c r="B50" i="2"/>
  <c r="B29" i="2"/>
  <c r="B36" i="2" s="1"/>
  <c r="B46" i="2"/>
  <c r="B47" i="2" s="1"/>
  <c r="B21" i="17"/>
  <c r="B22" i="17" s="1"/>
  <c r="B58" i="17"/>
  <c r="B59" i="17" s="1"/>
  <c r="B68" i="17"/>
  <c r="B26" i="17"/>
  <c r="B29" i="17" s="1"/>
  <c r="C13" i="17"/>
  <c r="C18" i="17" s="1"/>
  <c r="C19" i="17" s="1"/>
  <c r="C14" i="17"/>
  <c r="B82" i="2"/>
  <c r="B83" i="2" s="1"/>
  <c r="B70" i="2"/>
  <c r="C14" i="2"/>
  <c r="C13" i="2"/>
  <c r="C18" i="2" s="1"/>
  <c r="C19" i="2" s="1"/>
  <c r="B90" i="2"/>
  <c r="C62" i="2"/>
  <c r="C63" i="2" s="1"/>
  <c r="C68" i="2" s="1"/>
  <c r="C69" i="2" s="1"/>
  <c r="C61" i="8" l="1"/>
  <c r="C60" i="8"/>
  <c r="B70" i="17"/>
  <c r="B36" i="17"/>
  <c r="B71" i="2"/>
  <c r="B72" i="2" s="1"/>
  <c r="B86" i="2" s="1"/>
  <c r="B96" i="2"/>
  <c r="C15" i="2"/>
  <c r="D12" i="2" s="1"/>
  <c r="D13" i="2" s="1"/>
  <c r="D18" i="2" s="1"/>
  <c r="D19" i="2" s="1"/>
  <c r="C15" i="17"/>
  <c r="B60" i="17"/>
  <c r="B63" i="17" s="1"/>
  <c r="C64" i="2"/>
  <c r="B72" i="17" l="1"/>
  <c r="B39" i="17"/>
  <c r="B71" i="17"/>
  <c r="C27" i="17"/>
  <c r="C28" i="17" s="1"/>
  <c r="C32" i="17"/>
  <c r="C33" i="17" s="1"/>
  <c r="C20" i="17"/>
  <c r="B98" i="2"/>
  <c r="B103" i="2" s="1"/>
  <c r="C25" i="2"/>
  <c r="C40" i="2"/>
  <c r="C41" i="2" s="1"/>
  <c r="C42" i="2" s="1"/>
  <c r="C43" i="2" s="1"/>
  <c r="C27" i="2"/>
  <c r="C28" i="2" s="1"/>
  <c r="B51" i="2"/>
  <c r="B52" i="2" s="1"/>
  <c r="B57" i="2" s="1"/>
  <c r="B58" i="2" s="1"/>
  <c r="C32" i="2"/>
  <c r="C33" i="2" s="1"/>
  <c r="C20" i="2"/>
  <c r="C50" i="2" s="1"/>
  <c r="D12" i="17"/>
  <c r="D14" i="17" s="1"/>
  <c r="C25" i="17"/>
  <c r="C52" i="17"/>
  <c r="C53" i="17" s="1"/>
  <c r="C54" i="17" s="1"/>
  <c r="C55" i="17" s="1"/>
  <c r="C65" i="2"/>
  <c r="C70" i="2" s="1"/>
  <c r="D14" i="2"/>
  <c r="B74" i="17" l="1"/>
  <c r="B45" i="17"/>
  <c r="B73" i="17"/>
  <c r="B40" i="17"/>
  <c r="C96" i="2"/>
  <c r="C97" i="2" s="1"/>
  <c r="B44" i="17"/>
  <c r="C68" i="17"/>
  <c r="C26" i="2"/>
  <c r="C29" i="2" s="1"/>
  <c r="C46" i="2"/>
  <c r="C47" i="2" s="1"/>
  <c r="B42" i="17"/>
  <c r="B41" i="17"/>
  <c r="B43" i="17"/>
  <c r="C69" i="17"/>
  <c r="C21" i="17"/>
  <c r="C22" i="17" s="1"/>
  <c r="C58" i="17"/>
  <c r="C59" i="17" s="1"/>
  <c r="D13" i="17"/>
  <c r="C21" i="2"/>
  <c r="C22" i="2" s="1"/>
  <c r="C26" i="17"/>
  <c r="C29" i="17" s="1"/>
  <c r="C71" i="2"/>
  <c r="C72" i="2" s="1"/>
  <c r="C90" i="2"/>
  <c r="C82" i="2"/>
  <c r="C83" i="2" s="1"/>
  <c r="D62" i="2"/>
  <c r="D63" i="2" s="1"/>
  <c r="D68" i="2" s="1"/>
  <c r="D69" i="2" s="1"/>
  <c r="D15" i="2"/>
  <c r="B46" i="17" l="1"/>
  <c r="C36" i="2"/>
  <c r="C70" i="17"/>
  <c r="C71" i="17" s="1"/>
  <c r="B48" i="17"/>
  <c r="B75" i="17"/>
  <c r="C36" i="17"/>
  <c r="D15" i="17"/>
  <c r="D18" i="17"/>
  <c r="D19" i="17" s="1"/>
  <c r="C51" i="2"/>
  <c r="C52" i="2" s="1"/>
  <c r="C55" i="2" s="1"/>
  <c r="C57" i="2" s="1"/>
  <c r="C58" i="2" s="1"/>
  <c r="D32" i="2"/>
  <c r="D33" i="2" s="1"/>
  <c r="D20" i="2"/>
  <c r="C86" i="2"/>
  <c r="D64" i="2"/>
  <c r="E12" i="2"/>
  <c r="E13" i="2" s="1"/>
  <c r="E18" i="2" s="1"/>
  <c r="E19" i="2" s="1"/>
  <c r="D27" i="2"/>
  <c r="D28" i="2" s="1"/>
  <c r="D40" i="2"/>
  <c r="D41" i="2" s="1"/>
  <c r="D42" i="2" s="1"/>
  <c r="D43" i="2" s="1"/>
  <c r="D25" i="2"/>
  <c r="C74" i="17" l="1"/>
  <c r="C45" i="17"/>
  <c r="C40" i="17"/>
  <c r="C44" i="17"/>
  <c r="C43" i="17"/>
  <c r="D69" i="17"/>
  <c r="C41" i="17"/>
  <c r="C42" i="17"/>
  <c r="C72" i="17"/>
  <c r="C73" i="17"/>
  <c r="C39" i="17"/>
  <c r="B77" i="17"/>
  <c r="B79" i="17"/>
  <c r="D26" i="2"/>
  <c r="D46" i="2"/>
  <c r="D47" i="2" s="1"/>
  <c r="D21" i="2"/>
  <c r="D22" i="2" s="1"/>
  <c r="D50" i="2"/>
  <c r="D27" i="17"/>
  <c r="D28" i="17" s="1"/>
  <c r="D32" i="17"/>
  <c r="D33" i="17" s="1"/>
  <c r="C60" i="17"/>
  <c r="C63" i="17" s="1"/>
  <c r="D52" i="17"/>
  <c r="D53" i="17" s="1"/>
  <c r="D54" i="17" s="1"/>
  <c r="D55" i="17" s="1"/>
  <c r="D20" i="17"/>
  <c r="D58" i="17" s="1"/>
  <c r="D59" i="17" s="1"/>
  <c r="E12" i="17"/>
  <c r="D25" i="17"/>
  <c r="D65" i="2"/>
  <c r="D29" i="2"/>
  <c r="E14" i="2"/>
  <c r="C46" i="17" l="1"/>
  <c r="B81" i="17"/>
  <c r="B82" i="17" s="1"/>
  <c r="C75" i="17"/>
  <c r="C77" i="17" s="1"/>
  <c r="C48" i="17"/>
  <c r="D68" i="17"/>
  <c r="D70" i="17" s="1"/>
  <c r="D72" i="17" s="1"/>
  <c r="D36" i="2"/>
  <c r="D26" i="17"/>
  <c r="D29" i="17" s="1"/>
  <c r="D21" i="17"/>
  <c r="D22" i="17" s="1"/>
  <c r="E13" i="17"/>
  <c r="E18" i="17" s="1"/>
  <c r="E19" i="17" s="1"/>
  <c r="E14" i="17"/>
  <c r="D82" i="2"/>
  <c r="D83" i="2" s="1"/>
  <c r="D70" i="2"/>
  <c r="D90" i="2"/>
  <c r="E62" i="2"/>
  <c r="E15" i="2"/>
  <c r="D96" i="2" l="1"/>
  <c r="D97" i="2" s="1"/>
  <c r="C79" i="17"/>
  <c r="D73" i="17"/>
  <c r="D71" i="17"/>
  <c r="D45" i="17" s="1"/>
  <c r="D39" i="17"/>
  <c r="D36" i="17"/>
  <c r="D60" i="17"/>
  <c r="D63" i="17" s="1"/>
  <c r="E15" i="17"/>
  <c r="E20" i="17" s="1"/>
  <c r="D71" i="2"/>
  <c r="D72" i="2" s="1"/>
  <c r="D86" i="2" s="1"/>
  <c r="D51" i="2"/>
  <c r="D52" i="2" s="1"/>
  <c r="D55" i="2" s="1"/>
  <c r="D57" i="2" s="1"/>
  <c r="D58" i="2" s="1"/>
  <c r="E32" i="2"/>
  <c r="E33" i="2" s="1"/>
  <c r="E20" i="2"/>
  <c r="E64" i="2"/>
  <c r="E63" i="2"/>
  <c r="E68" i="2" s="1"/>
  <c r="E69" i="2" s="1"/>
  <c r="C81" i="17"/>
  <c r="C82" i="17" s="1"/>
  <c r="F12" i="2"/>
  <c r="F13" i="2" s="1"/>
  <c r="F18" i="2" s="1"/>
  <c r="F19" i="2" s="1"/>
  <c r="E27" i="2"/>
  <c r="E28" i="2" s="1"/>
  <c r="E40" i="2"/>
  <c r="E41" i="2" s="1"/>
  <c r="E42" i="2" s="1"/>
  <c r="E43" i="2" s="1"/>
  <c r="E25" i="2"/>
  <c r="D41" i="17" l="1"/>
  <c r="D74" i="17"/>
  <c r="D75" i="17" s="1"/>
  <c r="D77" i="17" s="1"/>
  <c r="E25" i="17"/>
  <c r="E26" i="17" s="1"/>
  <c r="E69" i="17"/>
  <c r="D43" i="17"/>
  <c r="D40" i="17"/>
  <c r="D44" i="17"/>
  <c r="D42" i="17"/>
  <c r="E26" i="2"/>
  <c r="E29" i="2" s="1"/>
  <c r="E46" i="2"/>
  <c r="E47" i="2" s="1"/>
  <c r="E21" i="2"/>
  <c r="E22" i="2" s="1"/>
  <c r="E50" i="2"/>
  <c r="E58" i="17"/>
  <c r="E59" i="17" s="1"/>
  <c r="E27" i="17"/>
  <c r="E28" i="17" s="1"/>
  <c r="E32" i="17"/>
  <c r="E33" i="17" s="1"/>
  <c r="F12" i="17"/>
  <c r="F14" i="17" s="1"/>
  <c r="E52" i="17"/>
  <c r="E53" i="17" s="1"/>
  <c r="E54" i="17" s="1"/>
  <c r="E55" i="17" s="1"/>
  <c r="E21" i="17"/>
  <c r="E22" i="17" s="1"/>
  <c r="E65" i="2"/>
  <c r="F62" i="2" s="1"/>
  <c r="F63" i="2" s="1"/>
  <c r="F68" i="2" s="1"/>
  <c r="F69" i="2" s="1"/>
  <c r="F14" i="2"/>
  <c r="D46" i="17" l="1"/>
  <c r="E68" i="17"/>
  <c r="E70" i="17" s="1"/>
  <c r="E39" i="17" s="1"/>
  <c r="D48" i="17"/>
  <c r="D81" i="17" s="1"/>
  <c r="D82" i="17" s="1"/>
  <c r="E29" i="17"/>
  <c r="E36" i="17" s="1"/>
  <c r="F13" i="17"/>
  <c r="F18" i="17" s="1"/>
  <c r="F19" i="17" s="1"/>
  <c r="E90" i="2"/>
  <c r="E82" i="2"/>
  <c r="E83" i="2" s="1"/>
  <c r="E70" i="2"/>
  <c r="E60" i="17"/>
  <c r="E63" i="17" s="1"/>
  <c r="E36" i="2"/>
  <c r="F15" i="2"/>
  <c r="F20" i="2" s="1"/>
  <c r="F64" i="2"/>
  <c r="E72" i="17" l="1"/>
  <c r="E73" i="17"/>
  <c r="E71" i="17"/>
  <c r="E45" i="17" s="1"/>
  <c r="E44" i="17"/>
  <c r="D79" i="17"/>
  <c r="F21" i="2"/>
  <c r="F22" i="2" s="1"/>
  <c r="F50" i="2"/>
  <c r="F15" i="17"/>
  <c r="F25" i="17" s="1"/>
  <c r="E96" i="2"/>
  <c r="E97" i="2" s="1"/>
  <c r="E71" i="2"/>
  <c r="E72" i="2" s="1"/>
  <c r="E86" i="2" s="1"/>
  <c r="E51" i="2"/>
  <c r="E52" i="2" s="1"/>
  <c r="E55" i="2" s="1"/>
  <c r="E57" i="2" s="1"/>
  <c r="E58" i="2" s="1"/>
  <c r="G12" i="2"/>
  <c r="F32" i="2"/>
  <c r="F33" i="2" s="1"/>
  <c r="F25" i="2"/>
  <c r="F40" i="2"/>
  <c r="F41" i="2" s="1"/>
  <c r="F42" i="2" s="1"/>
  <c r="F43" i="2" s="1"/>
  <c r="F27" i="2"/>
  <c r="F28" i="2" s="1"/>
  <c r="F65" i="2"/>
  <c r="E40" i="17" l="1"/>
  <c r="F69" i="17"/>
  <c r="E41" i="17"/>
  <c r="E43" i="17"/>
  <c r="E42" i="17"/>
  <c r="E74" i="17"/>
  <c r="E75" i="17" s="1"/>
  <c r="E77" i="17" s="1"/>
  <c r="G12" i="17"/>
  <c r="G13" i="17" s="1"/>
  <c r="G18" i="17" s="1"/>
  <c r="G19" i="17" s="1"/>
  <c r="F52" i="17"/>
  <c r="F53" i="17" s="1"/>
  <c r="F54" i="17" s="1"/>
  <c r="F55" i="17" s="1"/>
  <c r="F20" i="17"/>
  <c r="F58" i="17" s="1"/>
  <c r="F59" i="17" s="1"/>
  <c r="F60" i="17" s="1"/>
  <c r="F26" i="17"/>
  <c r="F32" i="17"/>
  <c r="F33" i="17" s="1"/>
  <c r="F68" i="17"/>
  <c r="F70" i="17" s="1"/>
  <c r="F72" i="17" s="1"/>
  <c r="F27" i="17"/>
  <c r="F28" i="17" s="1"/>
  <c r="F26" i="2"/>
  <c r="F29" i="2" s="1"/>
  <c r="F36" i="2" s="1"/>
  <c r="F46" i="2"/>
  <c r="F47" i="2" s="1"/>
  <c r="F82" i="2"/>
  <c r="F83" i="2" s="1"/>
  <c r="F70" i="2"/>
  <c r="G14" i="2"/>
  <c r="G13" i="2"/>
  <c r="G18" i="2" s="1"/>
  <c r="G19" i="2" s="1"/>
  <c r="F90" i="2"/>
  <c r="G62" i="2"/>
  <c r="G63" i="2" s="1"/>
  <c r="G68" i="2" s="1"/>
  <c r="G69" i="2" s="1"/>
  <c r="E46" i="17" l="1"/>
  <c r="E48" i="17" s="1"/>
  <c r="G14" i="17"/>
  <c r="G15" i="17" s="1"/>
  <c r="G32" i="17" s="1"/>
  <c r="G33" i="17" s="1"/>
  <c r="F96" i="2"/>
  <c r="F97" i="2" s="1"/>
  <c r="E79" i="17"/>
  <c r="F63" i="17"/>
  <c r="F29" i="17"/>
  <c r="F21" i="17"/>
  <c r="F22" i="17" s="1"/>
  <c r="F39" i="17"/>
  <c r="G15" i="2"/>
  <c r="G32" i="2" s="1"/>
  <c r="G33" i="2" s="1"/>
  <c r="F71" i="17"/>
  <c r="F45" i="17" s="1"/>
  <c r="F73" i="17"/>
  <c r="G27" i="17"/>
  <c r="G28" i="17" s="1"/>
  <c r="F71" i="2"/>
  <c r="F72" i="2" s="1"/>
  <c r="F86" i="2" s="1"/>
  <c r="F51" i="2"/>
  <c r="F52" i="2" s="1"/>
  <c r="F55" i="2" s="1"/>
  <c r="F57" i="2" s="1"/>
  <c r="F58" i="2" s="1"/>
  <c r="G52" i="17"/>
  <c r="G53" i="17" s="1"/>
  <c r="G54" i="17" s="1"/>
  <c r="G55" i="17" s="1"/>
  <c r="G64" i="2"/>
  <c r="G20" i="17" l="1"/>
  <c r="G58" i="17" s="1"/>
  <c r="G59" i="17" s="1"/>
  <c r="G25" i="17"/>
  <c r="G68" i="17" s="1"/>
  <c r="H12" i="17"/>
  <c r="H14" i="17" s="1"/>
  <c r="F44" i="17"/>
  <c r="F74" i="17"/>
  <c r="F75" i="17" s="1"/>
  <c r="F36" i="17"/>
  <c r="G27" i="2"/>
  <c r="G28" i="2" s="1"/>
  <c r="H12" i="2"/>
  <c r="H13" i="2" s="1"/>
  <c r="H18" i="2" s="1"/>
  <c r="H19" i="2" s="1"/>
  <c r="F40" i="17"/>
  <c r="G20" i="2"/>
  <c r="G25" i="2"/>
  <c r="G40" i="2"/>
  <c r="G41" i="2" s="1"/>
  <c r="G42" i="2" s="1"/>
  <c r="G43" i="2" s="1"/>
  <c r="F43" i="17"/>
  <c r="F42" i="17"/>
  <c r="G69" i="17"/>
  <c r="F41" i="17"/>
  <c r="G21" i="17"/>
  <c r="G22" i="17" s="1"/>
  <c r="E81" i="17"/>
  <c r="E82" i="17" s="1"/>
  <c r="H14" i="2"/>
  <c r="G65" i="2"/>
  <c r="G26" i="17" l="1"/>
  <c r="G29" i="17" s="1"/>
  <c r="H13" i="17"/>
  <c r="H18" i="17" s="1"/>
  <c r="H19" i="17" s="1"/>
  <c r="F46" i="17"/>
  <c r="F48" i="17" s="1"/>
  <c r="F77" i="17"/>
  <c r="G26" i="2"/>
  <c r="G29" i="2" s="1"/>
  <c r="G36" i="2" s="1"/>
  <c r="G46" i="2"/>
  <c r="G47" i="2" s="1"/>
  <c r="G21" i="2"/>
  <c r="G22" i="2" s="1"/>
  <c r="G50" i="2"/>
  <c r="G51" i="2" s="1"/>
  <c r="G52" i="2" s="1"/>
  <c r="G55" i="2" s="1"/>
  <c r="G70" i="17"/>
  <c r="G39" i="17" s="1"/>
  <c r="H15" i="17"/>
  <c r="H27" i="17" s="1"/>
  <c r="H28" i="17" s="1"/>
  <c r="G36" i="17"/>
  <c r="G60" i="17"/>
  <c r="G63" i="17" s="1"/>
  <c r="G82" i="2"/>
  <c r="G83" i="2" s="1"/>
  <c r="G70" i="2"/>
  <c r="H15" i="2"/>
  <c r="G90" i="2"/>
  <c r="H62" i="2"/>
  <c r="H63" i="2" s="1"/>
  <c r="H68" i="2" s="1"/>
  <c r="H69" i="2" s="1"/>
  <c r="F79" i="17" l="1"/>
  <c r="G96" i="2"/>
  <c r="G97" i="2" s="1"/>
  <c r="G71" i="17"/>
  <c r="G41" i="17" s="1"/>
  <c r="G73" i="17"/>
  <c r="G72" i="17"/>
  <c r="F81" i="17"/>
  <c r="F82" i="17" s="1"/>
  <c r="H52" i="17"/>
  <c r="H53" i="17" s="1"/>
  <c r="H54" i="17" s="1"/>
  <c r="H55" i="17" s="1"/>
  <c r="I12" i="17"/>
  <c r="I14" i="17" s="1"/>
  <c r="H20" i="17"/>
  <c r="H32" i="17"/>
  <c r="H33" i="17" s="1"/>
  <c r="H25" i="17"/>
  <c r="G71" i="2"/>
  <c r="G72" i="2" s="1"/>
  <c r="G86" i="2" s="1"/>
  <c r="G57" i="2"/>
  <c r="G58" i="2" s="1"/>
  <c r="H32" i="2"/>
  <c r="H33" i="2" s="1"/>
  <c r="H20" i="2"/>
  <c r="H64" i="2"/>
  <c r="I12" i="2"/>
  <c r="I13" i="2" s="1"/>
  <c r="I18" i="2" s="1"/>
  <c r="I19" i="2" s="1"/>
  <c r="H27" i="2"/>
  <c r="H28" i="2" s="1"/>
  <c r="H40" i="2"/>
  <c r="H41" i="2" s="1"/>
  <c r="H42" i="2" s="1"/>
  <c r="H43" i="2" s="1"/>
  <c r="H25" i="2"/>
  <c r="G43" i="17" l="1"/>
  <c r="G45" i="17"/>
  <c r="G40" i="17"/>
  <c r="G74" i="17"/>
  <c r="G75" i="17" s="1"/>
  <c r="G77" i="17" s="1"/>
  <c r="G42" i="17"/>
  <c r="H69" i="17"/>
  <c r="G44" i="17"/>
  <c r="I13" i="17"/>
  <c r="I18" i="17" s="1"/>
  <c r="I19" i="17" s="1"/>
  <c r="H68" i="17"/>
  <c r="H26" i="2"/>
  <c r="H29" i="2" s="1"/>
  <c r="H36" i="2" s="1"/>
  <c r="H46" i="2"/>
  <c r="H47" i="2" s="1"/>
  <c r="H21" i="2"/>
  <c r="H22" i="2" s="1"/>
  <c r="H50" i="2"/>
  <c r="H26" i="17"/>
  <c r="H29" i="17" s="1"/>
  <c r="H58" i="17"/>
  <c r="H59" i="17" s="1"/>
  <c r="H60" i="17" s="1"/>
  <c r="H63" i="17" s="1"/>
  <c r="H21" i="17"/>
  <c r="H22" i="17" s="1"/>
  <c r="H65" i="2"/>
  <c r="H70" i="2" s="1"/>
  <c r="I14" i="2"/>
  <c r="I15" i="17" l="1"/>
  <c r="I25" i="17" s="1"/>
  <c r="G46" i="17"/>
  <c r="G48" i="17" s="1"/>
  <c r="H70" i="17"/>
  <c r="H73" i="17" s="1"/>
  <c r="H96" i="2"/>
  <c r="H97" i="2" s="1"/>
  <c r="H36" i="17"/>
  <c r="I52" i="17"/>
  <c r="I53" i="17" s="1"/>
  <c r="I54" i="17" s="1"/>
  <c r="I55" i="17" s="1"/>
  <c r="I20" i="17"/>
  <c r="I27" i="17"/>
  <c r="I28" i="17" s="1"/>
  <c r="I32" i="17"/>
  <c r="I33" i="17" s="1"/>
  <c r="J12" i="17"/>
  <c r="J14" i="17" s="1"/>
  <c r="I68" i="17"/>
  <c r="I26" i="17"/>
  <c r="H71" i="2"/>
  <c r="H72" i="2" s="1"/>
  <c r="H90" i="2"/>
  <c r="H82" i="2"/>
  <c r="H83" i="2" s="1"/>
  <c r="I62" i="2"/>
  <c r="I15" i="2"/>
  <c r="H72" i="17" l="1"/>
  <c r="H71" i="17"/>
  <c r="H45" i="17" s="1"/>
  <c r="H39" i="17"/>
  <c r="H44" i="17"/>
  <c r="G79" i="17"/>
  <c r="H41" i="17"/>
  <c r="H40" i="17"/>
  <c r="I69" i="17"/>
  <c r="I70" i="17" s="1"/>
  <c r="I73" i="17" s="1"/>
  <c r="I21" i="17"/>
  <c r="I22" i="17" s="1"/>
  <c r="I58" i="17"/>
  <c r="I59" i="17" s="1"/>
  <c r="I60" i="17" s="1"/>
  <c r="I63" i="17" s="1"/>
  <c r="I29" i="17"/>
  <c r="J13" i="17"/>
  <c r="J18" i="17" s="1"/>
  <c r="J19" i="17" s="1"/>
  <c r="H51" i="2"/>
  <c r="H52" i="2" s="1"/>
  <c r="H55" i="2" s="1"/>
  <c r="H57" i="2" s="1"/>
  <c r="H58" i="2" s="1"/>
  <c r="I32" i="2"/>
  <c r="I33" i="2" s="1"/>
  <c r="I20" i="2"/>
  <c r="I64" i="2"/>
  <c r="I63" i="2"/>
  <c r="I68" i="2" s="1"/>
  <c r="I69" i="2" s="1"/>
  <c r="G81" i="17"/>
  <c r="G82" i="17" s="1"/>
  <c r="H86" i="2"/>
  <c r="J12" i="2"/>
  <c r="J13" i="2" s="1"/>
  <c r="I27" i="2"/>
  <c r="I28" i="2" s="1"/>
  <c r="I40" i="2"/>
  <c r="I41" i="2" s="1"/>
  <c r="I42" i="2" s="1"/>
  <c r="I43" i="2" s="1"/>
  <c r="I25" i="2"/>
  <c r="H43" i="17" l="1"/>
  <c r="H42" i="17"/>
  <c r="H74" i="17"/>
  <c r="H75" i="17" s="1"/>
  <c r="H77" i="17" s="1"/>
  <c r="I36" i="17"/>
  <c r="I26" i="2"/>
  <c r="I29" i="2" s="1"/>
  <c r="I36" i="2" s="1"/>
  <c r="I46" i="2"/>
  <c r="I47" i="2" s="1"/>
  <c r="I21" i="2"/>
  <c r="I22" i="2" s="1"/>
  <c r="I50" i="2"/>
  <c r="J15" i="17"/>
  <c r="I65" i="2"/>
  <c r="I90" i="2" s="1"/>
  <c r="J18" i="2"/>
  <c r="J19" i="2" s="1"/>
  <c r="I72" i="17"/>
  <c r="I39" i="17"/>
  <c r="I71" i="17"/>
  <c r="I45" i="17" s="1"/>
  <c r="J14" i="2"/>
  <c r="H46" i="17" l="1"/>
  <c r="H48" i="17" s="1"/>
  <c r="I44" i="17"/>
  <c r="I74" i="17"/>
  <c r="I75" i="17" s="1"/>
  <c r="H79" i="17"/>
  <c r="I43" i="17"/>
  <c r="I40" i="17"/>
  <c r="J27" i="17"/>
  <c r="J28" i="17" s="1"/>
  <c r="J32" i="17"/>
  <c r="J33" i="17" s="1"/>
  <c r="K12" i="17"/>
  <c r="J25" i="17"/>
  <c r="J20" i="17"/>
  <c r="J58" i="17" s="1"/>
  <c r="J59" i="17" s="1"/>
  <c r="J52" i="17"/>
  <c r="J53" i="17" s="1"/>
  <c r="J54" i="17" s="1"/>
  <c r="J55" i="17" s="1"/>
  <c r="I82" i="2"/>
  <c r="I83" i="2" s="1"/>
  <c r="I70" i="2"/>
  <c r="J62" i="2"/>
  <c r="J63" i="2" s="1"/>
  <c r="J68" i="2" s="1"/>
  <c r="J69" i="2" s="1"/>
  <c r="I42" i="17"/>
  <c r="I41" i="17"/>
  <c r="J69" i="17"/>
  <c r="H81" i="17"/>
  <c r="H82" i="17" s="1"/>
  <c r="J15" i="2"/>
  <c r="I46" i="17" l="1"/>
  <c r="I96" i="2"/>
  <c r="I97" i="2" s="1"/>
  <c r="I48" i="17"/>
  <c r="I77" i="17"/>
  <c r="I71" i="2"/>
  <c r="I72" i="2" s="1"/>
  <c r="I86" i="2" s="1"/>
  <c r="J21" i="17"/>
  <c r="J22" i="17" s="1"/>
  <c r="J26" i="17"/>
  <c r="J29" i="17" s="1"/>
  <c r="J68" i="17"/>
  <c r="J70" i="17" s="1"/>
  <c r="J73" i="17" s="1"/>
  <c r="K14" i="17"/>
  <c r="K13" i="17"/>
  <c r="J64" i="2"/>
  <c r="J65" i="2" s="1"/>
  <c r="J70" i="2" s="1"/>
  <c r="I51" i="2"/>
  <c r="I52" i="2" s="1"/>
  <c r="I55" i="2" s="1"/>
  <c r="I57" i="2" s="1"/>
  <c r="I58" i="2" s="1"/>
  <c r="J32" i="2"/>
  <c r="J33" i="2" s="1"/>
  <c r="J20" i="2"/>
  <c r="K12" i="2"/>
  <c r="K13" i="2" s="1"/>
  <c r="K18" i="2" s="1"/>
  <c r="K19" i="2" s="1"/>
  <c r="J27" i="2"/>
  <c r="J28" i="2" s="1"/>
  <c r="J40" i="2"/>
  <c r="J41" i="2" s="1"/>
  <c r="J42" i="2" s="1"/>
  <c r="J43" i="2" s="1"/>
  <c r="J25" i="2"/>
  <c r="J96" i="2" l="1"/>
  <c r="J97" i="2" s="1"/>
  <c r="I79" i="17"/>
  <c r="J21" i="2"/>
  <c r="J22" i="2" s="1"/>
  <c r="J50" i="2"/>
  <c r="J26" i="2"/>
  <c r="J29" i="2" s="1"/>
  <c r="J46" i="2"/>
  <c r="J47" i="2" s="1"/>
  <c r="J72" i="17"/>
  <c r="J71" i="17"/>
  <c r="J45" i="17" s="1"/>
  <c r="K18" i="17"/>
  <c r="K19" i="17" s="1"/>
  <c r="K15" i="17"/>
  <c r="J36" i="17"/>
  <c r="J39" i="17"/>
  <c r="J60" i="17"/>
  <c r="J63" i="17" s="1"/>
  <c r="I81" i="17"/>
  <c r="I82" i="17" s="1"/>
  <c r="K62" i="2"/>
  <c r="J82" i="2"/>
  <c r="J83" i="2" s="1"/>
  <c r="J71" i="2"/>
  <c r="J72" i="2" s="1"/>
  <c r="J90" i="2"/>
  <c r="K14" i="2"/>
  <c r="J44" i="17" l="1"/>
  <c r="J74" i="17"/>
  <c r="J42" i="17"/>
  <c r="J40" i="17"/>
  <c r="J43" i="17"/>
  <c r="K69" i="17"/>
  <c r="J75" i="17"/>
  <c r="J41" i="17"/>
  <c r="K27" i="17"/>
  <c r="K28" i="17" s="1"/>
  <c r="K32" i="17"/>
  <c r="K33" i="17" s="1"/>
  <c r="L12" i="17"/>
  <c r="K20" i="17"/>
  <c r="K58" i="17" s="1"/>
  <c r="K59" i="17" s="1"/>
  <c r="K25" i="17"/>
  <c r="K52" i="17"/>
  <c r="K53" i="17" s="1"/>
  <c r="K54" i="17" s="1"/>
  <c r="K55" i="17" s="1"/>
  <c r="K64" i="2"/>
  <c r="K63" i="2"/>
  <c r="K68" i="2" s="1"/>
  <c r="K69" i="2" s="1"/>
  <c r="J86" i="2"/>
  <c r="J36" i="2"/>
  <c r="K15" i="2"/>
  <c r="J46" i="17" l="1"/>
  <c r="J48" i="17" s="1"/>
  <c r="J77" i="17"/>
  <c r="K21" i="17"/>
  <c r="K22" i="17" s="1"/>
  <c r="L13" i="17"/>
  <c r="L14" i="17"/>
  <c r="K68" i="17"/>
  <c r="K70" i="17" s="1"/>
  <c r="K26" i="17"/>
  <c r="K29" i="17" s="1"/>
  <c r="J51" i="2"/>
  <c r="J52" i="2" s="1"/>
  <c r="J55" i="2" s="1"/>
  <c r="J57" i="2" s="1"/>
  <c r="J58" i="2" s="1"/>
  <c r="K32" i="2"/>
  <c r="K33" i="2" s="1"/>
  <c r="K20" i="2"/>
  <c r="K65" i="2"/>
  <c r="L12" i="2"/>
  <c r="K27" i="2"/>
  <c r="K28" i="2" s="1"/>
  <c r="K25" i="2"/>
  <c r="K40" i="2"/>
  <c r="K41" i="2" s="1"/>
  <c r="K42" i="2" s="1"/>
  <c r="K43" i="2" s="1"/>
  <c r="J81" i="17" l="1"/>
  <c r="J82" i="17" s="1"/>
  <c r="J79" i="17"/>
  <c r="K26" i="2"/>
  <c r="K29" i="2" s="1"/>
  <c r="K46" i="2"/>
  <c r="K47" i="2" s="1"/>
  <c r="K21" i="2"/>
  <c r="K22" i="2" s="1"/>
  <c r="K50" i="2"/>
  <c r="K36" i="17"/>
  <c r="K73" i="17"/>
  <c r="K71" i="17"/>
  <c r="K39" i="17"/>
  <c r="K72" i="17"/>
  <c r="K60" i="17"/>
  <c r="K63" i="17" s="1"/>
  <c r="L18" i="17"/>
  <c r="L19" i="17" s="1"/>
  <c r="L15" i="17"/>
  <c r="K82" i="2"/>
  <c r="K83" i="2" s="1"/>
  <c r="K70" i="2"/>
  <c r="L62" i="2"/>
  <c r="L63" i="2" s="1"/>
  <c r="L68" i="2" s="1"/>
  <c r="L69" i="2" s="1"/>
  <c r="K90" i="2"/>
  <c r="L14" i="2"/>
  <c r="L13" i="2"/>
  <c r="L18" i="2" s="1"/>
  <c r="L19" i="2" s="1"/>
  <c r="L64" i="2"/>
  <c r="K74" i="17" l="1"/>
  <c r="K45" i="17"/>
  <c r="K40" i="17"/>
  <c r="K44" i="17"/>
  <c r="K36" i="2"/>
  <c r="L69" i="17"/>
  <c r="K75" i="17"/>
  <c r="K42" i="17"/>
  <c r="K43" i="17"/>
  <c r="K41" i="17"/>
  <c r="L27" i="17"/>
  <c r="L28" i="17" s="1"/>
  <c r="L32" i="17"/>
  <c r="L33" i="17" s="1"/>
  <c r="M12" i="17"/>
  <c r="L20" i="17"/>
  <c r="L58" i="17" s="1"/>
  <c r="L59" i="17" s="1"/>
  <c r="L25" i="17"/>
  <c r="L52" i="17"/>
  <c r="L53" i="17" s="1"/>
  <c r="L54" i="17" s="1"/>
  <c r="L55" i="17" s="1"/>
  <c r="K96" i="2"/>
  <c r="K97" i="2" s="1"/>
  <c r="K71" i="2"/>
  <c r="K72" i="2" s="1"/>
  <c r="K86" i="2" s="1"/>
  <c r="K51" i="2"/>
  <c r="K52" i="2" s="1"/>
  <c r="K55" i="2" s="1"/>
  <c r="L15" i="2"/>
  <c r="L40" i="2" s="1"/>
  <c r="L41" i="2" s="1"/>
  <c r="L42" i="2" s="1"/>
  <c r="L43" i="2" s="1"/>
  <c r="L65" i="2"/>
  <c r="K46" i="17" l="1"/>
  <c r="K57" i="2"/>
  <c r="K58" i="2" s="1"/>
  <c r="K48" i="17"/>
  <c r="K77" i="17"/>
  <c r="L26" i="17"/>
  <c r="L29" i="17" s="1"/>
  <c r="L68" i="17"/>
  <c r="L70" i="17" s="1"/>
  <c r="L21" i="17"/>
  <c r="L22" i="17" s="1"/>
  <c r="M14" i="17"/>
  <c r="M13" i="17"/>
  <c r="M18" i="17" s="1"/>
  <c r="M19" i="17" s="1"/>
  <c r="L27" i="2"/>
  <c r="L28" i="2" s="1"/>
  <c r="L82" i="2"/>
  <c r="L83" i="2" s="1"/>
  <c r="L70" i="2"/>
  <c r="L25" i="2"/>
  <c r="L32" i="2"/>
  <c r="L33" i="2" s="1"/>
  <c r="L20" i="2"/>
  <c r="L50" i="2" s="1"/>
  <c r="M12" i="2"/>
  <c r="M13" i="2" s="1"/>
  <c r="M18" i="2" s="1"/>
  <c r="M19" i="2" s="1"/>
  <c r="L90" i="2"/>
  <c r="M62" i="2"/>
  <c r="M63" i="2" s="1"/>
  <c r="M68" i="2" s="1"/>
  <c r="M69" i="2" s="1"/>
  <c r="H6" i="17" l="1"/>
  <c r="L96" i="2"/>
  <c r="L97" i="2" s="1"/>
  <c r="K79" i="17"/>
  <c r="L26" i="2"/>
  <c r="L46" i="2"/>
  <c r="L47" i="2" s="1"/>
  <c r="K81" i="17"/>
  <c r="K82" i="17" s="1"/>
  <c r="L36" i="17"/>
  <c r="L39" i="17"/>
  <c r="L72" i="17"/>
  <c r="L73" i="17"/>
  <c r="L71" i="17"/>
  <c r="M15" i="17"/>
  <c r="L60" i="17"/>
  <c r="L63" i="17" s="1"/>
  <c r="L71" i="2"/>
  <c r="L72" i="2" s="1"/>
  <c r="L86" i="2" s="1"/>
  <c r="L29" i="2"/>
  <c r="M14" i="2"/>
  <c r="M15" i="2" s="1"/>
  <c r="L21" i="2"/>
  <c r="L22" i="2" s="1"/>
  <c r="M64" i="2"/>
  <c r="L74" i="17" l="1"/>
  <c r="L45" i="17"/>
  <c r="L40" i="17"/>
  <c r="L44" i="17"/>
  <c r="L36" i="2"/>
  <c r="L41" i="17"/>
  <c r="L42" i="17"/>
  <c r="L43" i="17"/>
  <c r="L75" i="17"/>
  <c r="M69" i="17"/>
  <c r="M27" i="17"/>
  <c r="M28" i="17" s="1"/>
  <c r="M32" i="17"/>
  <c r="M33" i="17" s="1"/>
  <c r="N12" i="17"/>
  <c r="M52" i="17"/>
  <c r="M53" i="17" s="1"/>
  <c r="M54" i="17" s="1"/>
  <c r="M55" i="17" s="1"/>
  <c r="M20" i="17"/>
  <c r="M58" i="17" s="1"/>
  <c r="M59" i="17" s="1"/>
  <c r="M25" i="17"/>
  <c r="L51" i="2"/>
  <c r="L52" i="2" s="1"/>
  <c r="L55" i="2" s="1"/>
  <c r="L57" i="2" s="1"/>
  <c r="L58" i="2" s="1"/>
  <c r="I6" i="2"/>
  <c r="M32" i="2"/>
  <c r="M33" i="2" s="1"/>
  <c r="M20" i="2"/>
  <c r="M50" i="2" s="1"/>
  <c r="M65" i="2"/>
  <c r="N12" i="2"/>
  <c r="N13" i="2" s="1"/>
  <c r="N18" i="2" s="1"/>
  <c r="N19" i="2" s="1"/>
  <c r="M27" i="2"/>
  <c r="M28" i="2" s="1"/>
  <c r="M40" i="2"/>
  <c r="M41" i="2" s="1"/>
  <c r="M42" i="2" s="1"/>
  <c r="M43" i="2" s="1"/>
  <c r="M25" i="2"/>
  <c r="L46" i="17" l="1"/>
  <c r="L48" i="17"/>
  <c r="L77" i="17"/>
  <c r="M26" i="2"/>
  <c r="M29" i="2" s="1"/>
  <c r="M46" i="2"/>
  <c r="M47" i="2" s="1"/>
  <c r="M21" i="17"/>
  <c r="M22" i="17" s="1"/>
  <c r="M68" i="17"/>
  <c r="M70" i="17" s="1"/>
  <c r="M26" i="17"/>
  <c r="M29" i="17" s="1"/>
  <c r="N14" i="17"/>
  <c r="N13" i="17"/>
  <c r="N18" i="17" s="1"/>
  <c r="N19" i="17" s="1"/>
  <c r="H5" i="17"/>
  <c r="H7" i="17" s="1"/>
  <c r="H8" i="17" s="1"/>
  <c r="M82" i="2"/>
  <c r="M83" i="2" s="1"/>
  <c r="M70" i="2"/>
  <c r="M21" i="2"/>
  <c r="M22" i="2" s="1"/>
  <c r="N14" i="2"/>
  <c r="M90" i="2"/>
  <c r="N62" i="2"/>
  <c r="N63" i="2" s="1"/>
  <c r="N68" i="2" s="1"/>
  <c r="N69" i="2" s="1"/>
  <c r="M96" i="2" l="1"/>
  <c r="M97" i="2" s="1"/>
  <c r="L79" i="17"/>
  <c r="L81" i="17"/>
  <c r="L82" i="17" s="1"/>
  <c r="M36" i="17"/>
  <c r="N15" i="17"/>
  <c r="N52" i="17" s="1"/>
  <c r="N53" i="17" s="1"/>
  <c r="N54" i="17" s="1"/>
  <c r="N55" i="17" s="1"/>
  <c r="M73" i="17"/>
  <c r="M72" i="17"/>
  <c r="M39" i="17"/>
  <c r="M71" i="17"/>
  <c r="M71" i="2"/>
  <c r="M72" i="2" s="1"/>
  <c r="M86" i="2" s="1"/>
  <c r="M51" i="2"/>
  <c r="M52" i="2" s="1"/>
  <c r="M55" i="2" s="1"/>
  <c r="I5" i="2" s="1"/>
  <c r="M36" i="2"/>
  <c r="N64" i="2"/>
  <c r="N15" i="2"/>
  <c r="M74" i="17" l="1"/>
  <c r="M45" i="17"/>
  <c r="M40" i="17"/>
  <c r="M44" i="17"/>
  <c r="N32" i="17"/>
  <c r="N33" i="17" s="1"/>
  <c r="O12" i="17"/>
  <c r="O13" i="17" s="1"/>
  <c r="O18" i="17" s="1"/>
  <c r="O19" i="17" s="1"/>
  <c r="N27" i="17"/>
  <c r="N28" i="17" s="1"/>
  <c r="N20" i="17"/>
  <c r="N58" i="17" s="1"/>
  <c r="N59" i="17" s="1"/>
  <c r="N25" i="17"/>
  <c r="N26" i="17" s="1"/>
  <c r="B6" i="2"/>
  <c r="B4" i="17" s="1"/>
  <c r="M60" i="17"/>
  <c r="M63" i="17" s="1"/>
  <c r="M75" i="17"/>
  <c r="M42" i="17"/>
  <c r="M41" i="17"/>
  <c r="M43" i="17"/>
  <c r="N69" i="17"/>
  <c r="M57" i="2"/>
  <c r="M58" i="2" s="1"/>
  <c r="N32" i="2"/>
  <c r="N33" i="2" s="1"/>
  <c r="N20" i="2"/>
  <c r="O12" i="2"/>
  <c r="O13" i="2" s="1"/>
  <c r="O18" i="2" s="1"/>
  <c r="O19" i="2" s="1"/>
  <c r="N25" i="2"/>
  <c r="N40" i="2"/>
  <c r="N41" i="2" s="1"/>
  <c r="N42" i="2" s="1"/>
  <c r="N43" i="2" s="1"/>
  <c r="N27" i="2"/>
  <c r="N28" i="2" s="1"/>
  <c r="N65" i="2"/>
  <c r="M46" i="17" l="1"/>
  <c r="O14" i="17"/>
  <c r="O15" i="17" s="1"/>
  <c r="O27" i="17" s="1"/>
  <c r="O28" i="17" s="1"/>
  <c r="N29" i="17"/>
  <c r="N68" i="17"/>
  <c r="N70" i="17" s="1"/>
  <c r="N71" i="17" s="1"/>
  <c r="M48" i="17"/>
  <c r="N21" i="2"/>
  <c r="N22" i="2" s="1"/>
  <c r="N50" i="2"/>
  <c r="N26" i="2"/>
  <c r="N29" i="2" s="1"/>
  <c r="N36" i="2" s="1"/>
  <c r="N46" i="2"/>
  <c r="N47" i="2" s="1"/>
  <c r="N21" i="17"/>
  <c r="N22" i="17" s="1"/>
  <c r="M77" i="17"/>
  <c r="N6" i="17" s="1"/>
  <c r="B5" i="2"/>
  <c r="B5" i="17" s="1"/>
  <c r="N82" i="2"/>
  <c r="N83" i="2" s="1"/>
  <c r="N70" i="2"/>
  <c r="N90" i="2"/>
  <c r="O62" i="2"/>
  <c r="O63" i="2" s="1"/>
  <c r="O68" i="2" s="1"/>
  <c r="O69" i="2" s="1"/>
  <c r="O14" i="2"/>
  <c r="N74" i="17" l="1"/>
  <c r="N45" i="17"/>
  <c r="N7" i="17"/>
  <c r="N96" i="2"/>
  <c r="N97" i="2" s="1"/>
  <c r="N36" i="17"/>
  <c r="N40" i="17"/>
  <c r="N44" i="17"/>
  <c r="M79" i="17"/>
  <c r="B7" i="2"/>
  <c r="M81" i="17"/>
  <c r="B6" i="17" s="1"/>
  <c r="B7" i="17" s="1"/>
  <c r="B8" i="17" s="1"/>
  <c r="N60" i="17"/>
  <c r="N63" i="17" s="1"/>
  <c r="P12" i="17"/>
  <c r="P14" i="17" s="1"/>
  <c r="O52" i="17"/>
  <c r="O53" i="17" s="1"/>
  <c r="O54" i="17" s="1"/>
  <c r="O55" i="17" s="1"/>
  <c r="O25" i="17"/>
  <c r="O32" i="17"/>
  <c r="O33" i="17" s="1"/>
  <c r="O20" i="17"/>
  <c r="O21" i="17" s="1"/>
  <c r="O22" i="17" s="1"/>
  <c r="N43" i="17"/>
  <c r="O69" i="17"/>
  <c r="N41" i="17"/>
  <c r="N42" i="17"/>
  <c r="N39" i="17"/>
  <c r="N73" i="17"/>
  <c r="N72" i="17"/>
  <c r="N71" i="2"/>
  <c r="N72" i="2" s="1"/>
  <c r="N86" i="2" s="1"/>
  <c r="O64" i="2"/>
  <c r="O15" i="2"/>
  <c r="N46" i="17" l="1"/>
  <c r="N8" i="17"/>
  <c r="M82" i="17"/>
  <c r="N48" i="17"/>
  <c r="O68" i="17"/>
  <c r="O70" i="17" s="1"/>
  <c r="P13" i="17"/>
  <c r="P18" i="17" s="1"/>
  <c r="P19" i="17" s="1"/>
  <c r="O58" i="17"/>
  <c r="O59" i="17" s="1"/>
  <c r="O26" i="17"/>
  <c r="O29" i="17" s="1"/>
  <c r="O36" i="17" s="1"/>
  <c r="N75" i="17"/>
  <c r="N51" i="2"/>
  <c r="N52" i="2" s="1"/>
  <c r="N55" i="2" s="1"/>
  <c r="N57" i="2" s="1"/>
  <c r="N58" i="2" s="1"/>
  <c r="O32" i="2"/>
  <c r="O33" i="2" s="1"/>
  <c r="O20" i="2"/>
  <c r="O50" i="2" s="1"/>
  <c r="O65" i="2"/>
  <c r="P12" i="2"/>
  <c r="P13" i="2" s="1"/>
  <c r="P18" i="2" s="1"/>
  <c r="P19" i="2" s="1"/>
  <c r="O25" i="2"/>
  <c r="O27" i="2"/>
  <c r="O28" i="2" s="1"/>
  <c r="O40" i="2"/>
  <c r="O41" i="2" s="1"/>
  <c r="O42" i="2" s="1"/>
  <c r="O43" i="2" s="1"/>
  <c r="N79" i="17" l="1"/>
  <c r="O26" i="2"/>
  <c r="O29" i="2" s="1"/>
  <c r="O46" i="2"/>
  <c r="O47" i="2" s="1"/>
  <c r="P15" i="17"/>
  <c r="P32" i="17" s="1"/>
  <c r="P33" i="17" s="1"/>
  <c r="O60" i="17"/>
  <c r="O63" i="17" s="1"/>
  <c r="N77" i="17"/>
  <c r="O39" i="17"/>
  <c r="O73" i="17"/>
  <c r="O72" i="17"/>
  <c r="O71" i="17"/>
  <c r="O82" i="2"/>
  <c r="O83" i="2" s="1"/>
  <c r="O70" i="2"/>
  <c r="O21" i="2"/>
  <c r="O22" i="2" s="1"/>
  <c r="P62" i="2"/>
  <c r="O90" i="2"/>
  <c r="P14" i="2"/>
  <c r="O74" i="17" l="1"/>
  <c r="O45" i="17"/>
  <c r="N81" i="17"/>
  <c r="N82" i="17" s="1"/>
  <c r="O96" i="2"/>
  <c r="O97" i="2" s="1"/>
  <c r="O71" i="2"/>
  <c r="O72" i="2" s="1"/>
  <c r="O86" i="2" s="1"/>
  <c r="Q12" i="17"/>
  <c r="Q13" i="17" s="1"/>
  <c r="Q18" i="17" s="1"/>
  <c r="Q19" i="17" s="1"/>
  <c r="O40" i="17"/>
  <c r="O44" i="17"/>
  <c r="P27" i="17"/>
  <c r="P28" i="17" s="1"/>
  <c r="Q14" i="17"/>
  <c r="P52" i="17"/>
  <c r="P53" i="17" s="1"/>
  <c r="P54" i="17" s="1"/>
  <c r="P55" i="17" s="1"/>
  <c r="P20" i="17"/>
  <c r="P25" i="17"/>
  <c r="O42" i="17"/>
  <c r="O43" i="17"/>
  <c r="O41" i="17"/>
  <c r="O75" i="17"/>
  <c r="P69" i="17"/>
  <c r="P64" i="2"/>
  <c r="P63" i="2"/>
  <c r="P68" i="2" s="1"/>
  <c r="P69" i="2" s="1"/>
  <c r="O36" i="2"/>
  <c r="P15" i="2"/>
  <c r="O46" i="17" l="1"/>
  <c r="O48" i="17" s="1"/>
  <c r="Q15" i="17"/>
  <c r="R12" i="17" s="1"/>
  <c r="R14" i="17" s="1"/>
  <c r="O77" i="17"/>
  <c r="P26" i="17"/>
  <c r="P29" i="17" s="1"/>
  <c r="P68" i="17"/>
  <c r="P70" i="17" s="1"/>
  <c r="P58" i="17"/>
  <c r="P59" i="17" s="1"/>
  <c r="P60" i="17" s="1"/>
  <c r="P63" i="17" s="1"/>
  <c r="P21" i="17"/>
  <c r="P22" i="17" s="1"/>
  <c r="Q52" i="17"/>
  <c r="Q53" i="17" s="1"/>
  <c r="Q54" i="17" s="1"/>
  <c r="Q55" i="17" s="1"/>
  <c r="O51" i="2"/>
  <c r="O52" i="2" s="1"/>
  <c r="O55" i="2" s="1"/>
  <c r="O57" i="2" s="1"/>
  <c r="O58" i="2" s="1"/>
  <c r="P65" i="2"/>
  <c r="P32" i="2"/>
  <c r="P33" i="2" s="1"/>
  <c r="P20" i="2"/>
  <c r="Q12" i="2"/>
  <c r="Q13" i="2" s="1"/>
  <c r="Q18" i="2" s="1"/>
  <c r="Q19" i="2" s="1"/>
  <c r="P25" i="2"/>
  <c r="P40" i="2"/>
  <c r="P41" i="2" s="1"/>
  <c r="P42" i="2" s="1"/>
  <c r="P43" i="2" s="1"/>
  <c r="P27" i="2"/>
  <c r="P28" i="2" s="1"/>
  <c r="Q25" i="17" l="1"/>
  <c r="Q27" i="17"/>
  <c r="Q28" i="17" s="1"/>
  <c r="Q20" i="17"/>
  <c r="Q58" i="17" s="1"/>
  <c r="Q59" i="17" s="1"/>
  <c r="R13" i="17"/>
  <c r="R18" i="17" s="1"/>
  <c r="R19" i="17" s="1"/>
  <c r="Q32" i="17"/>
  <c r="Q33" i="17" s="1"/>
  <c r="O79" i="17"/>
  <c r="P36" i="17"/>
  <c r="Q26" i="17"/>
  <c r="P26" i="2"/>
  <c r="P29" i="2" s="1"/>
  <c r="P46" i="2"/>
  <c r="P47" i="2" s="1"/>
  <c r="P21" i="2"/>
  <c r="P22" i="2" s="1"/>
  <c r="P50" i="2"/>
  <c r="Q68" i="17"/>
  <c r="O81" i="17"/>
  <c r="O82" i="17" s="1"/>
  <c r="P73" i="17"/>
  <c r="P39" i="17"/>
  <c r="P72" i="17"/>
  <c r="P71" i="17"/>
  <c r="Q62" i="2"/>
  <c r="Q63" i="2" s="1"/>
  <c r="Q68" i="2" s="1"/>
  <c r="Q69" i="2" s="1"/>
  <c r="P70" i="2"/>
  <c r="P82" i="2"/>
  <c r="P83" i="2" s="1"/>
  <c r="P90" i="2"/>
  <c r="Q14" i="2"/>
  <c r="Q15" i="2" s="1"/>
  <c r="R15" i="17" l="1"/>
  <c r="R20" i="17" s="1"/>
  <c r="R58" i="17" s="1"/>
  <c r="R59" i="17" s="1"/>
  <c r="Q29" i="17"/>
  <c r="Q21" i="17"/>
  <c r="Q22" i="17" s="1"/>
  <c r="Q36" i="17" s="1"/>
  <c r="P74" i="17"/>
  <c r="P75" i="17" s="1"/>
  <c r="P45" i="17"/>
  <c r="P40" i="17"/>
  <c r="P44" i="17"/>
  <c r="R52" i="17"/>
  <c r="R53" i="17" s="1"/>
  <c r="R54" i="17" s="1"/>
  <c r="R55" i="17" s="1"/>
  <c r="R25" i="17"/>
  <c r="R32" i="17"/>
  <c r="R33" i="17" s="1"/>
  <c r="S12" i="17"/>
  <c r="S14" i="17" s="1"/>
  <c r="R27" i="17"/>
  <c r="R28" i="17" s="1"/>
  <c r="Q60" i="17"/>
  <c r="Q63" i="17" s="1"/>
  <c r="R21" i="17"/>
  <c r="R22" i="17" s="1"/>
  <c r="P43" i="17"/>
  <c r="P42" i="17"/>
  <c r="Q69" i="17"/>
  <c r="P41" i="17"/>
  <c r="Q64" i="2"/>
  <c r="Q65" i="2" s="1"/>
  <c r="Q82" i="2" s="1"/>
  <c r="Q83" i="2" s="1"/>
  <c r="P96" i="2"/>
  <c r="P97" i="2" s="1"/>
  <c r="P71" i="2"/>
  <c r="P72" i="2" s="1"/>
  <c r="P86" i="2" s="1"/>
  <c r="Q32" i="2"/>
  <c r="Q33" i="2" s="1"/>
  <c r="Q20" i="2"/>
  <c r="P36" i="2"/>
  <c r="R12" i="2"/>
  <c r="R13" i="2" s="1"/>
  <c r="R18" i="2" s="1"/>
  <c r="R19" i="2" s="1"/>
  <c r="Q25" i="2"/>
  <c r="Q27" i="2"/>
  <c r="Q28" i="2" s="1"/>
  <c r="Q40" i="2"/>
  <c r="Q41" i="2" s="1"/>
  <c r="Q42" i="2" s="1"/>
  <c r="Q43" i="2" s="1"/>
  <c r="P46" i="17" l="1"/>
  <c r="P48" i="17"/>
  <c r="R68" i="17"/>
  <c r="Q21" i="2"/>
  <c r="Q50" i="2"/>
  <c r="Q26" i="2"/>
  <c r="Q46" i="2"/>
  <c r="Q47" i="2" s="1"/>
  <c r="R26" i="17"/>
  <c r="R29" i="17" s="1"/>
  <c r="R36" i="17" s="1"/>
  <c r="S13" i="17"/>
  <c r="S18" i="17" s="1"/>
  <c r="S19" i="17" s="1"/>
  <c r="P77" i="17"/>
  <c r="Q70" i="17"/>
  <c r="R62" i="2"/>
  <c r="R63" i="2" s="1"/>
  <c r="R68" i="2" s="1"/>
  <c r="R69" i="2" s="1"/>
  <c r="Q90" i="2"/>
  <c r="Q70" i="2"/>
  <c r="P51" i="2"/>
  <c r="P52" i="2" s="1"/>
  <c r="P55" i="2" s="1"/>
  <c r="P57" i="2" s="1"/>
  <c r="P58" i="2" s="1"/>
  <c r="Q22" i="2"/>
  <c r="Q29" i="2"/>
  <c r="R14" i="2"/>
  <c r="R64" i="2" l="1"/>
  <c r="P79" i="17"/>
  <c r="S15" i="17"/>
  <c r="S52" i="17" s="1"/>
  <c r="S53" i="17" s="1"/>
  <c r="S54" i="17" s="1"/>
  <c r="S55" i="17" s="1"/>
  <c r="P81" i="17"/>
  <c r="P82" i="17" s="1"/>
  <c r="Q73" i="17"/>
  <c r="Q39" i="17"/>
  <c r="Q72" i="17"/>
  <c r="Q71" i="17"/>
  <c r="R60" i="17"/>
  <c r="R63" i="17" s="1"/>
  <c r="Q71" i="2"/>
  <c r="Q72" i="2" s="1"/>
  <c r="Q86" i="2" s="1"/>
  <c r="Q96" i="2"/>
  <c r="Q97" i="2" s="1"/>
  <c r="Q36" i="2"/>
  <c r="R15" i="2"/>
  <c r="R65" i="2"/>
  <c r="Q74" i="17" l="1"/>
  <c r="Q45" i="17"/>
  <c r="S27" i="17"/>
  <c r="S28" i="17" s="1"/>
  <c r="T12" i="17"/>
  <c r="T14" i="17" s="1"/>
  <c r="S20" i="17"/>
  <c r="S58" i="17" s="1"/>
  <c r="S59" i="17" s="1"/>
  <c r="S25" i="17"/>
  <c r="S26" i="17" s="1"/>
  <c r="S32" i="17"/>
  <c r="S33" i="17" s="1"/>
  <c r="Q40" i="17"/>
  <c r="Q44" i="17"/>
  <c r="Q42" i="17"/>
  <c r="Q43" i="17"/>
  <c r="Q41" i="17"/>
  <c r="R69" i="17"/>
  <c r="Q75" i="17"/>
  <c r="R82" i="2"/>
  <c r="R83" i="2" s="1"/>
  <c r="R70" i="2"/>
  <c r="Q51" i="2"/>
  <c r="Q52" i="2" s="1"/>
  <c r="Q55" i="2" s="1"/>
  <c r="Q57" i="2" s="1"/>
  <c r="Q58" i="2" s="1"/>
  <c r="R32" i="2"/>
  <c r="R33" i="2" s="1"/>
  <c r="R20" i="2"/>
  <c r="S62" i="2"/>
  <c r="S63" i="2" s="1"/>
  <c r="S68" i="2" s="1"/>
  <c r="S69" i="2" s="1"/>
  <c r="R90" i="2"/>
  <c r="S12" i="2"/>
  <c r="S13" i="2" s="1"/>
  <c r="S18" i="2" s="1"/>
  <c r="S19" i="2" s="1"/>
  <c r="R25" i="2"/>
  <c r="R40" i="2"/>
  <c r="R41" i="2" s="1"/>
  <c r="R42" i="2" s="1"/>
  <c r="R43" i="2" s="1"/>
  <c r="R27" i="2"/>
  <c r="R28" i="2" s="1"/>
  <c r="S29" i="17" l="1"/>
  <c r="Q46" i="17"/>
  <c r="Q48" i="17" s="1"/>
  <c r="T13" i="17"/>
  <c r="T18" i="17" s="1"/>
  <c r="T19" i="17" s="1"/>
  <c r="S68" i="17"/>
  <c r="S21" i="17"/>
  <c r="S22" i="17" s="1"/>
  <c r="S36" i="17" s="1"/>
  <c r="Q77" i="17"/>
  <c r="R26" i="2"/>
  <c r="R46" i="2"/>
  <c r="R47" i="2" s="1"/>
  <c r="R21" i="2"/>
  <c r="R22" i="2" s="1"/>
  <c r="R50" i="2"/>
  <c r="R71" i="2"/>
  <c r="R72" i="2" s="1"/>
  <c r="R86" i="2" s="1"/>
  <c r="S60" i="17"/>
  <c r="S63" i="17" s="1"/>
  <c r="R70" i="17"/>
  <c r="R96" i="2"/>
  <c r="R97" i="2" s="1"/>
  <c r="S64" i="2"/>
  <c r="R29" i="2"/>
  <c r="S14" i="2"/>
  <c r="T15" i="17" l="1"/>
  <c r="Q81" i="17"/>
  <c r="Q82" i="17" s="1"/>
  <c r="Q79" i="17"/>
  <c r="R73" i="17"/>
  <c r="R72" i="17"/>
  <c r="R39" i="17"/>
  <c r="R71" i="17"/>
  <c r="T32" i="17"/>
  <c r="T33" i="17" s="1"/>
  <c r="T20" i="17"/>
  <c r="T58" i="17" s="1"/>
  <c r="T59" i="17" s="1"/>
  <c r="T25" i="17"/>
  <c r="U12" i="17"/>
  <c r="T52" i="17"/>
  <c r="T53" i="17" s="1"/>
  <c r="T54" i="17" s="1"/>
  <c r="T55" i="17" s="1"/>
  <c r="T27" i="17"/>
  <c r="T28" i="17" s="1"/>
  <c r="R36" i="2"/>
  <c r="S15" i="2"/>
  <c r="S65" i="2"/>
  <c r="R74" i="17" l="1"/>
  <c r="R45" i="17"/>
  <c r="R40" i="17"/>
  <c r="R44" i="17"/>
  <c r="U14" i="17"/>
  <c r="U13" i="17"/>
  <c r="U18" i="17" s="1"/>
  <c r="U19" i="17" s="1"/>
  <c r="R41" i="17"/>
  <c r="R75" i="17"/>
  <c r="S69" i="17"/>
  <c r="R42" i="17"/>
  <c r="R43" i="17"/>
  <c r="T68" i="17"/>
  <c r="T26" i="17"/>
  <c r="T29" i="17" s="1"/>
  <c r="T21" i="17"/>
  <c r="T22" i="17" s="1"/>
  <c r="S82" i="2"/>
  <c r="S83" i="2" s="1"/>
  <c r="S70" i="2"/>
  <c r="R51" i="2"/>
  <c r="R52" i="2" s="1"/>
  <c r="R55" i="2" s="1"/>
  <c r="R57" i="2" s="1"/>
  <c r="R58" i="2" s="1"/>
  <c r="S32" i="2"/>
  <c r="S33" i="2" s="1"/>
  <c r="S20" i="2"/>
  <c r="T12" i="2"/>
  <c r="T13" i="2" s="1"/>
  <c r="T18" i="2" s="1"/>
  <c r="T19" i="2" s="1"/>
  <c r="S25" i="2"/>
  <c r="S27" i="2"/>
  <c r="S28" i="2" s="1"/>
  <c r="S40" i="2"/>
  <c r="S41" i="2" s="1"/>
  <c r="S42" i="2" s="1"/>
  <c r="S43" i="2" s="1"/>
  <c r="S90" i="2"/>
  <c r="T62" i="2"/>
  <c r="T63" i="2" s="1"/>
  <c r="T68" i="2" s="1"/>
  <c r="T69" i="2" s="1"/>
  <c r="R46" i="17" l="1"/>
  <c r="R48" i="17" s="1"/>
  <c r="S96" i="2"/>
  <c r="S97" i="2" s="1"/>
  <c r="S26" i="2"/>
  <c r="S29" i="2" s="1"/>
  <c r="S46" i="2"/>
  <c r="S47" i="2" s="1"/>
  <c r="S21" i="2"/>
  <c r="S22" i="2" s="1"/>
  <c r="S50" i="2"/>
  <c r="T36" i="17"/>
  <c r="U15" i="17"/>
  <c r="U25" i="17" s="1"/>
  <c r="R77" i="17"/>
  <c r="S70" i="17"/>
  <c r="S71" i="17" s="1"/>
  <c r="S71" i="2"/>
  <c r="S72" i="2" s="1"/>
  <c r="S86" i="2" s="1"/>
  <c r="T64" i="2"/>
  <c r="T14" i="2"/>
  <c r="S74" i="17" l="1"/>
  <c r="S45" i="17"/>
  <c r="S40" i="17"/>
  <c r="S44" i="17"/>
  <c r="R79" i="17"/>
  <c r="R81" i="17"/>
  <c r="R82" i="17" s="1"/>
  <c r="U26" i="17"/>
  <c r="U68" i="17"/>
  <c r="T60" i="17"/>
  <c r="T63" i="17" s="1"/>
  <c r="U32" i="17"/>
  <c r="U33" i="17" s="1"/>
  <c r="U27" i="17"/>
  <c r="U28" i="17" s="1"/>
  <c r="U29" i="17" s="1"/>
  <c r="V12" i="17"/>
  <c r="U52" i="17"/>
  <c r="U53" i="17" s="1"/>
  <c r="U54" i="17" s="1"/>
  <c r="U55" i="17" s="1"/>
  <c r="U20" i="17"/>
  <c r="U58" i="17" s="1"/>
  <c r="U59" i="17" s="1"/>
  <c r="S39" i="17"/>
  <c r="S72" i="17"/>
  <c r="S73" i="17"/>
  <c r="S43" i="17"/>
  <c r="S41" i="17"/>
  <c r="T69" i="17"/>
  <c r="S42" i="17"/>
  <c r="S36" i="2"/>
  <c r="T65" i="2"/>
  <c r="T70" i="2" s="1"/>
  <c r="T15" i="2"/>
  <c r="S46" i="17" l="1"/>
  <c r="S48" i="17" s="1"/>
  <c r="S75" i="17"/>
  <c r="U21" i="17"/>
  <c r="U22" i="17" s="1"/>
  <c r="U36" i="17" s="1"/>
  <c r="V14" i="17"/>
  <c r="V13" i="17"/>
  <c r="T70" i="17"/>
  <c r="S51" i="2"/>
  <c r="S52" i="2" s="1"/>
  <c r="S55" i="2" s="1"/>
  <c r="S57" i="2" s="1"/>
  <c r="S58" i="2" s="1"/>
  <c r="T32" i="2"/>
  <c r="T33" i="2" s="1"/>
  <c r="T20" i="2"/>
  <c r="T96" i="2"/>
  <c r="T97" i="2" s="1"/>
  <c r="T90" i="2"/>
  <c r="T82" i="2"/>
  <c r="T83" i="2" s="1"/>
  <c r="T71" i="2"/>
  <c r="T72" i="2" s="1"/>
  <c r="U62" i="2"/>
  <c r="U63" i="2" s="1"/>
  <c r="U68" i="2" s="1"/>
  <c r="U69" i="2" s="1"/>
  <c r="U12" i="2"/>
  <c r="U13" i="2" s="1"/>
  <c r="U18" i="2" s="1"/>
  <c r="U19" i="2" s="1"/>
  <c r="T25" i="2"/>
  <c r="T40" i="2"/>
  <c r="T41" i="2" s="1"/>
  <c r="T42" i="2" s="1"/>
  <c r="T43" i="2" s="1"/>
  <c r="T27" i="2"/>
  <c r="T28" i="2" s="1"/>
  <c r="S77" i="17" l="1"/>
  <c r="S81" i="17" s="1"/>
  <c r="S82" i="17" s="1"/>
  <c r="S79" i="17"/>
  <c r="T21" i="2"/>
  <c r="T22" i="2" s="1"/>
  <c r="T50" i="2"/>
  <c r="T26" i="2"/>
  <c r="T46" i="2"/>
  <c r="T47" i="2" s="1"/>
  <c r="V15" i="17"/>
  <c r="V18" i="17"/>
  <c r="V19" i="17" s="1"/>
  <c r="T72" i="17"/>
  <c r="T39" i="17"/>
  <c r="T73" i="17"/>
  <c r="T71" i="17"/>
  <c r="T86" i="2"/>
  <c r="U64" i="2"/>
  <c r="U14" i="2"/>
  <c r="T29" i="2"/>
  <c r="T74" i="17" l="1"/>
  <c r="T45" i="17"/>
  <c r="T36" i="2"/>
  <c r="T40" i="17"/>
  <c r="T44" i="17"/>
  <c r="U60" i="17"/>
  <c r="U63" i="17" s="1"/>
  <c r="V32" i="17"/>
  <c r="V33" i="17" s="1"/>
  <c r="V20" i="17"/>
  <c r="V58" i="17" s="1"/>
  <c r="V59" i="17" s="1"/>
  <c r="V27" i="17"/>
  <c r="V28" i="17" s="1"/>
  <c r="V25" i="17"/>
  <c r="W12" i="17"/>
  <c r="V52" i="17"/>
  <c r="V53" i="17" s="1"/>
  <c r="V54" i="17" s="1"/>
  <c r="V55" i="17" s="1"/>
  <c r="T41" i="17"/>
  <c r="T75" i="17"/>
  <c r="T42" i="17"/>
  <c r="U69" i="17"/>
  <c r="T43" i="17"/>
  <c r="U65" i="2"/>
  <c r="U15" i="2"/>
  <c r="T46" i="17" l="1"/>
  <c r="T48" i="17"/>
  <c r="T77" i="17"/>
  <c r="V68" i="17"/>
  <c r="V26" i="17"/>
  <c r="V29" i="17" s="1"/>
  <c r="V21" i="17"/>
  <c r="V22" i="17" s="1"/>
  <c r="W14" i="17"/>
  <c r="W13" i="17"/>
  <c r="W18" i="17" s="1"/>
  <c r="W19" i="17" s="1"/>
  <c r="U70" i="17"/>
  <c r="U71" i="17" s="1"/>
  <c r="U82" i="2"/>
  <c r="U83" i="2" s="1"/>
  <c r="U70" i="2"/>
  <c r="T51" i="2"/>
  <c r="T52" i="2" s="1"/>
  <c r="T55" i="2" s="1"/>
  <c r="T57" i="2" s="1"/>
  <c r="T58" i="2" s="1"/>
  <c r="U32" i="2"/>
  <c r="U33" i="2" s="1"/>
  <c r="U20" i="2"/>
  <c r="U90" i="2"/>
  <c r="V62" i="2"/>
  <c r="V12" i="2"/>
  <c r="U40" i="2"/>
  <c r="U41" i="2" s="1"/>
  <c r="U42" i="2" s="1"/>
  <c r="U43" i="2" s="1"/>
  <c r="U25" i="2"/>
  <c r="U27" i="2"/>
  <c r="U28" i="2" s="1"/>
  <c r="U74" i="17" l="1"/>
  <c r="U45" i="17"/>
  <c r="U40" i="17"/>
  <c r="U44" i="17"/>
  <c r="T79" i="17"/>
  <c r="V36" i="17"/>
  <c r="U26" i="2"/>
  <c r="U46" i="2"/>
  <c r="U47" i="2" s="1"/>
  <c r="U21" i="2"/>
  <c r="U22" i="2" s="1"/>
  <c r="U50" i="2"/>
  <c r="W15" i="17"/>
  <c r="W32" i="17" s="1"/>
  <c r="W33" i="17" s="1"/>
  <c r="T81" i="17"/>
  <c r="T82" i="17" s="1"/>
  <c r="V69" i="17"/>
  <c r="U41" i="17"/>
  <c r="U42" i="17"/>
  <c r="U43" i="17"/>
  <c r="U72" i="17"/>
  <c r="U73" i="17"/>
  <c r="U39" i="17"/>
  <c r="U96" i="2"/>
  <c r="U97" i="2" s="1"/>
  <c r="U71" i="2"/>
  <c r="U72" i="2" s="1"/>
  <c r="U86" i="2" s="1"/>
  <c r="V64" i="2"/>
  <c r="V63" i="2"/>
  <c r="V68" i="2" s="1"/>
  <c r="V69" i="2" s="1"/>
  <c r="V14" i="2"/>
  <c r="V13" i="2"/>
  <c r="V18" i="2" s="1"/>
  <c r="V19" i="2" s="1"/>
  <c r="U29" i="2"/>
  <c r="U46" i="17" l="1"/>
  <c r="W27" i="17"/>
  <c r="W28" i="17" s="1"/>
  <c r="U36" i="2"/>
  <c r="U48" i="17"/>
  <c r="X12" i="17"/>
  <c r="X14" i="17" s="1"/>
  <c r="W52" i="17"/>
  <c r="W53" i="17" s="1"/>
  <c r="W54" i="17" s="1"/>
  <c r="W55" i="17" s="1"/>
  <c r="W20" i="17"/>
  <c r="W58" i="17" s="1"/>
  <c r="W59" i="17" s="1"/>
  <c r="W25" i="17"/>
  <c r="V60" i="17"/>
  <c r="V63" i="17" s="1"/>
  <c r="U75" i="17"/>
  <c r="V70" i="17"/>
  <c r="U51" i="2"/>
  <c r="U52" i="2" s="1"/>
  <c r="U55" i="2" s="1"/>
  <c r="U57" i="2" s="1"/>
  <c r="U58" i="2" s="1"/>
  <c r="V15" i="2"/>
  <c r="W12" i="2" s="1"/>
  <c r="V65" i="2"/>
  <c r="X13" i="17" l="1"/>
  <c r="X18" i="17" s="1"/>
  <c r="X19" i="17" s="1"/>
  <c r="U77" i="17"/>
  <c r="U81" i="17" s="1"/>
  <c r="U82" i="17" s="1"/>
  <c r="U79" i="17"/>
  <c r="W68" i="17"/>
  <c r="W21" i="17"/>
  <c r="W22" i="17" s="1"/>
  <c r="W26" i="17"/>
  <c r="W29" i="17" s="1"/>
  <c r="X15" i="17"/>
  <c r="X25" i="17" s="1"/>
  <c r="V72" i="17"/>
  <c r="V39" i="17"/>
  <c r="V73" i="17"/>
  <c r="V71" i="17"/>
  <c r="V25" i="2"/>
  <c r="V27" i="2"/>
  <c r="V28" i="2" s="1"/>
  <c r="V82" i="2"/>
  <c r="V83" i="2" s="1"/>
  <c r="V70" i="2"/>
  <c r="V40" i="2"/>
  <c r="V41" i="2" s="1"/>
  <c r="V42" i="2" s="1"/>
  <c r="V43" i="2" s="1"/>
  <c r="V90" i="2"/>
  <c r="W62" i="2"/>
  <c r="W63" i="2" s="1"/>
  <c r="W68" i="2" s="1"/>
  <c r="W69" i="2" s="1"/>
  <c r="V32" i="2"/>
  <c r="V33" i="2" s="1"/>
  <c r="V20" i="2"/>
  <c r="V50" i="2" s="1"/>
  <c r="W14" i="2"/>
  <c r="W13" i="2"/>
  <c r="W18" i="2" s="1"/>
  <c r="W19" i="2" s="1"/>
  <c r="V74" i="17" l="1"/>
  <c r="V45" i="17"/>
  <c r="V71" i="2"/>
  <c r="V72" i="2" s="1"/>
  <c r="W36" i="17"/>
  <c r="V40" i="17"/>
  <c r="V44" i="17"/>
  <c r="V26" i="2"/>
  <c r="V29" i="2" s="1"/>
  <c r="V46" i="2"/>
  <c r="V47" i="2" s="1"/>
  <c r="V86" i="2"/>
  <c r="Y12" i="17"/>
  <c r="Y13" i="17" s="1"/>
  <c r="X27" i="17"/>
  <c r="X28" i="17" s="1"/>
  <c r="X20" i="17"/>
  <c r="X52" i="17"/>
  <c r="X53" i="17" s="1"/>
  <c r="X54" i="17" s="1"/>
  <c r="X55" i="17" s="1"/>
  <c r="W60" i="17"/>
  <c r="W63" i="17" s="1"/>
  <c r="X32" i="17"/>
  <c r="X33" i="17" s="1"/>
  <c r="X68" i="17"/>
  <c r="X26" i="17"/>
  <c r="V42" i="17"/>
  <c r="V41" i="17"/>
  <c r="V43" i="17"/>
  <c r="V75" i="17"/>
  <c r="W69" i="17"/>
  <c r="V96" i="2"/>
  <c r="V97" i="2" s="1"/>
  <c r="W64" i="2"/>
  <c r="V21" i="2"/>
  <c r="V22" i="2" s="1"/>
  <c r="W15" i="2"/>
  <c r="W40" i="2" s="1"/>
  <c r="W41" i="2" s="1"/>
  <c r="W42" i="2" s="1"/>
  <c r="W43" i="2" s="1"/>
  <c r="V46" i="17" l="1"/>
  <c r="Y14" i="17"/>
  <c r="I6" i="17" s="1"/>
  <c r="V48" i="17"/>
  <c r="X21" i="17"/>
  <c r="X22" i="17" s="1"/>
  <c r="X58" i="17"/>
  <c r="X59" i="17" s="1"/>
  <c r="X29" i="17"/>
  <c r="Y18" i="17"/>
  <c r="Y19" i="17" s="1"/>
  <c r="W70" i="17"/>
  <c r="W71" i="17" s="1"/>
  <c r="V77" i="17"/>
  <c r="V36" i="2"/>
  <c r="W65" i="2"/>
  <c r="W32" i="2"/>
  <c r="W33" i="2" s="1"/>
  <c r="W20" i="2"/>
  <c r="W50" i="2" s="1"/>
  <c r="X12" i="2"/>
  <c r="X14" i="2" s="1"/>
  <c r="W27" i="2"/>
  <c r="W28" i="2" s="1"/>
  <c r="W25" i="2"/>
  <c r="Y15" i="17" l="1"/>
  <c r="Y27" i="17" s="1"/>
  <c r="Y28" i="17" s="1"/>
  <c r="W74" i="17"/>
  <c r="W45" i="17"/>
  <c r="X36" i="17"/>
  <c r="W40" i="17"/>
  <c r="W44" i="17"/>
  <c r="V79" i="17"/>
  <c r="W26" i="2"/>
  <c r="W29" i="2" s="1"/>
  <c r="W46" i="2"/>
  <c r="W47" i="2" s="1"/>
  <c r="V81" i="17"/>
  <c r="V82" i="17" s="1"/>
  <c r="X60" i="17"/>
  <c r="X63" i="17" s="1"/>
  <c r="W41" i="17"/>
  <c r="W43" i="17"/>
  <c r="X69" i="17"/>
  <c r="W42" i="17"/>
  <c r="W73" i="17"/>
  <c r="W39" i="17"/>
  <c r="W72" i="17"/>
  <c r="V51" i="2"/>
  <c r="V52" i="2" s="1"/>
  <c r="V55" i="2" s="1"/>
  <c r="V57" i="2" s="1"/>
  <c r="V58" i="2" s="1"/>
  <c r="W82" i="2"/>
  <c r="W83" i="2" s="1"/>
  <c r="W70" i="2"/>
  <c r="W90" i="2"/>
  <c r="X62" i="2"/>
  <c r="X63" i="2" s="1"/>
  <c r="X68" i="2" s="1"/>
  <c r="X69" i="2" s="1"/>
  <c r="W21" i="2"/>
  <c r="W22" i="2" s="1"/>
  <c r="X13" i="2"/>
  <c r="X18" i="2" s="1"/>
  <c r="X19" i="2" s="1"/>
  <c r="Y25" i="17" l="1"/>
  <c r="Z12" i="17"/>
  <c r="Z14" i="17" s="1"/>
  <c r="Y52" i="17"/>
  <c r="Y53" i="17" s="1"/>
  <c r="Y54" i="17" s="1"/>
  <c r="Y55" i="17" s="1"/>
  <c r="Y20" i="17"/>
  <c r="Y58" i="17" s="1"/>
  <c r="Y59" i="17" s="1"/>
  <c r="Y32" i="17"/>
  <c r="Y33" i="17" s="1"/>
  <c r="W46" i="17"/>
  <c r="W48" i="17"/>
  <c r="W75" i="17"/>
  <c r="Y26" i="17"/>
  <c r="Y29" i="17" s="1"/>
  <c r="Y68" i="17"/>
  <c r="X70" i="17"/>
  <c r="X71" i="17" s="1"/>
  <c r="W71" i="2"/>
  <c r="W72" i="2" s="1"/>
  <c r="W86" i="2" s="1"/>
  <c r="W96" i="2"/>
  <c r="W97" i="2" s="1"/>
  <c r="X64" i="2"/>
  <c r="X65" i="2" s="1"/>
  <c r="X70" i="2" s="1"/>
  <c r="W36" i="2"/>
  <c r="X15" i="2"/>
  <c r="Z13" i="17" l="1"/>
  <c r="Z18" i="17" s="1"/>
  <c r="Z19" i="17" s="1"/>
  <c r="Y21" i="17"/>
  <c r="Y22" i="17" s="1"/>
  <c r="X74" i="17"/>
  <c r="X45" i="17"/>
  <c r="X96" i="2"/>
  <c r="X97" i="2" s="1"/>
  <c r="X40" i="17"/>
  <c r="X44" i="17"/>
  <c r="W77" i="17"/>
  <c r="W81" i="17" s="1"/>
  <c r="W82" i="17" s="1"/>
  <c r="W79" i="17"/>
  <c r="Z15" i="17"/>
  <c r="Z27" i="17" s="1"/>
  <c r="Z28" i="17" s="1"/>
  <c r="Y36" i="17"/>
  <c r="Y69" i="17"/>
  <c r="X42" i="17"/>
  <c r="X43" i="17"/>
  <c r="X41" i="17"/>
  <c r="X73" i="17"/>
  <c r="X72" i="17"/>
  <c r="X39" i="17"/>
  <c r="W51" i="2"/>
  <c r="W52" i="2" s="1"/>
  <c r="W55" i="2" s="1"/>
  <c r="W57" i="2" s="1"/>
  <c r="W58" i="2" s="1"/>
  <c r="X32" i="2"/>
  <c r="X33" i="2" s="1"/>
  <c r="X20" i="2"/>
  <c r="X50" i="2" s="1"/>
  <c r="Y12" i="2"/>
  <c r="X25" i="2"/>
  <c r="X40" i="2"/>
  <c r="X41" i="2" s="1"/>
  <c r="X42" i="2" s="1"/>
  <c r="X43" i="2" s="1"/>
  <c r="X27" i="2"/>
  <c r="X28" i="2" s="1"/>
  <c r="Y62" i="2"/>
  <c r="X82" i="2"/>
  <c r="X83" i="2" s="1"/>
  <c r="X90" i="2"/>
  <c r="X71" i="2"/>
  <c r="X72" i="2" s="1"/>
  <c r="X46" i="17" l="1"/>
  <c r="X48" i="17" s="1"/>
  <c r="X26" i="2"/>
  <c r="X29" i="2" s="1"/>
  <c r="X46" i="2"/>
  <c r="X47" i="2" s="1"/>
  <c r="Z52" i="17"/>
  <c r="Z53" i="17" s="1"/>
  <c r="Z54" i="17" s="1"/>
  <c r="Z55" i="17" s="1"/>
  <c r="Z25" i="17"/>
  <c r="Z26" i="17" s="1"/>
  <c r="Z29" i="17" s="1"/>
  <c r="Z20" i="17"/>
  <c r="Z58" i="17" s="1"/>
  <c r="Z59" i="17" s="1"/>
  <c r="AA12" i="17"/>
  <c r="AA13" i="17" s="1"/>
  <c r="AA18" i="17" s="1"/>
  <c r="AA19" i="17" s="1"/>
  <c r="Z32" i="17"/>
  <c r="Z33" i="17" s="1"/>
  <c r="Y60" i="17"/>
  <c r="Y63" i="17" s="1"/>
  <c r="X75" i="17"/>
  <c r="Y70" i="17"/>
  <c r="Y71" i="17" s="1"/>
  <c r="Y13" i="2"/>
  <c r="Y18" i="2" s="1"/>
  <c r="Y19" i="2" s="1"/>
  <c r="Y14" i="2"/>
  <c r="J6" i="2" s="1"/>
  <c r="X21" i="2"/>
  <c r="X22" i="2" s="1"/>
  <c r="Y64" i="2"/>
  <c r="Y63" i="2"/>
  <c r="Y68" i="2" s="1"/>
  <c r="Y69" i="2" s="1"/>
  <c r="X86" i="2"/>
  <c r="Y74" i="17" l="1"/>
  <c r="Y45" i="17"/>
  <c r="Y40" i="17"/>
  <c r="Y44" i="17"/>
  <c r="X79" i="17"/>
  <c r="Z68" i="17"/>
  <c r="Z21" i="17"/>
  <c r="Z22" i="17" s="1"/>
  <c r="Z36" i="17" s="1"/>
  <c r="AA14" i="17"/>
  <c r="AA15" i="17" s="1"/>
  <c r="AA20" i="17" s="1"/>
  <c r="Z60" i="17"/>
  <c r="Z63" i="17" s="1"/>
  <c r="X77" i="17"/>
  <c r="X81" i="17" s="1"/>
  <c r="X82" i="17" s="1"/>
  <c r="Y43" i="17"/>
  <c r="Z69" i="17"/>
  <c r="Y41" i="17"/>
  <c r="Y42" i="17"/>
  <c r="Y39" i="17"/>
  <c r="Y73" i="17"/>
  <c r="Y72" i="17"/>
  <c r="I5" i="17"/>
  <c r="I7" i="17" s="1"/>
  <c r="I8" i="17" s="1"/>
  <c r="X36" i="2"/>
  <c r="Y65" i="2"/>
  <c r="Y15" i="2"/>
  <c r="Y46" i="17" l="1"/>
  <c r="Y48" i="17"/>
  <c r="Z70" i="17"/>
  <c r="Z73" i="17" s="1"/>
  <c r="AA25" i="17"/>
  <c r="AA26" i="17" s="1"/>
  <c r="AA27" i="17"/>
  <c r="AA28" i="17" s="1"/>
  <c r="AA32" i="17"/>
  <c r="AA33" i="17" s="1"/>
  <c r="AB12" i="17"/>
  <c r="AA52" i="17"/>
  <c r="AA53" i="17" s="1"/>
  <c r="AA54" i="17" s="1"/>
  <c r="AA55" i="17" s="1"/>
  <c r="AA21" i="17"/>
  <c r="AA22" i="17" s="1"/>
  <c r="AA58" i="17"/>
  <c r="AA59" i="17" s="1"/>
  <c r="AA60" i="17" s="1"/>
  <c r="Y75" i="17"/>
  <c r="Y82" i="2"/>
  <c r="Y83" i="2" s="1"/>
  <c r="Y70" i="2"/>
  <c r="Z62" i="2"/>
  <c r="Z64" i="2" s="1"/>
  <c r="Y90" i="2"/>
  <c r="Y32" i="2"/>
  <c r="Y33" i="2" s="1"/>
  <c r="Y20" i="2"/>
  <c r="Y50" i="2" s="1"/>
  <c r="Y25" i="2"/>
  <c r="Z12" i="2"/>
  <c r="Y27" i="2"/>
  <c r="Y28" i="2" s="1"/>
  <c r="Y40" i="2"/>
  <c r="Y41" i="2" s="1"/>
  <c r="Y42" i="2" s="1"/>
  <c r="Y43" i="2" s="1"/>
  <c r="Z72" i="17" l="1"/>
  <c r="Z71" i="17"/>
  <c r="Z45" i="17" s="1"/>
  <c r="Z39" i="17"/>
  <c r="Z40" i="17"/>
  <c r="Y79" i="17"/>
  <c r="AA63" i="17"/>
  <c r="AA68" i="17"/>
  <c r="Y26" i="2"/>
  <c r="Y29" i="2" s="1"/>
  <c r="Y46" i="2"/>
  <c r="Y47" i="2" s="1"/>
  <c r="AA29" i="17"/>
  <c r="AA36" i="17" s="1"/>
  <c r="AB14" i="17"/>
  <c r="AB13" i="17"/>
  <c r="AB18" i="17" s="1"/>
  <c r="AB19" i="17" s="1"/>
  <c r="Y77" i="17"/>
  <c r="Y71" i="2"/>
  <c r="Y72" i="2" s="1"/>
  <c r="Y86" i="2" s="1"/>
  <c r="Y96" i="2"/>
  <c r="Y97" i="2" s="1"/>
  <c r="Z63" i="2"/>
  <c r="Z68" i="2" s="1"/>
  <c r="Z69" i="2" s="1"/>
  <c r="X51" i="2"/>
  <c r="X52" i="2" s="1"/>
  <c r="X55" i="2" s="1"/>
  <c r="X57" i="2" s="1"/>
  <c r="X58" i="2" s="1"/>
  <c r="Z14" i="2"/>
  <c r="Z13" i="2"/>
  <c r="Z18" i="2" s="1"/>
  <c r="Z19" i="2" s="1"/>
  <c r="Y21" i="2"/>
  <c r="Y22" i="2" s="1"/>
  <c r="Z44" i="17" l="1"/>
  <c r="Z74" i="17"/>
  <c r="Z75" i="17" s="1"/>
  <c r="Z77" i="17" s="1"/>
  <c r="Y81" i="17"/>
  <c r="C6" i="17" s="1"/>
  <c r="O6" i="17"/>
  <c r="C6" i="2"/>
  <c r="C4" i="17" s="1"/>
  <c r="Z41" i="17"/>
  <c r="AA69" i="17"/>
  <c r="AA70" i="17" s="1"/>
  <c r="AA71" i="17" s="1"/>
  <c r="Z43" i="17"/>
  <c r="Z42" i="17"/>
  <c r="AB15" i="17"/>
  <c r="AB32" i="17" s="1"/>
  <c r="AB33" i="17" s="1"/>
  <c r="Z65" i="2"/>
  <c r="Z70" i="2" s="1"/>
  <c r="Z82" i="2"/>
  <c r="Z83" i="2" s="1"/>
  <c r="Y36" i="2"/>
  <c r="AA62" i="2"/>
  <c r="AA63" i="2" s="1"/>
  <c r="AA68" i="2" s="1"/>
  <c r="AA69" i="2" s="1"/>
  <c r="Z15" i="2"/>
  <c r="Z46" i="17" l="1"/>
  <c r="AA74" i="17"/>
  <c r="AA45" i="17"/>
  <c r="AC12" i="17"/>
  <c r="AC14" i="17" s="1"/>
  <c r="Y82" i="17"/>
  <c r="AB25" i="17"/>
  <c r="AB26" i="17" s="1"/>
  <c r="O7" i="17"/>
  <c r="Z48" i="17"/>
  <c r="Z81" i="17" s="1"/>
  <c r="Z82" i="17" s="1"/>
  <c r="AB27" i="17"/>
  <c r="AB28" i="17" s="1"/>
  <c r="AB52" i="17"/>
  <c r="AB53" i="17" s="1"/>
  <c r="AB54" i="17" s="1"/>
  <c r="AB55" i="17" s="1"/>
  <c r="AB20" i="17"/>
  <c r="AB58" i="17" s="1"/>
  <c r="AB59" i="17" s="1"/>
  <c r="AB60" i="17" s="1"/>
  <c r="AA40" i="17"/>
  <c r="AA44" i="17"/>
  <c r="Z90" i="2"/>
  <c r="AA41" i="17"/>
  <c r="AB69" i="17"/>
  <c r="AA43" i="17"/>
  <c r="AA42" i="17"/>
  <c r="AA73" i="17"/>
  <c r="AA39" i="17"/>
  <c r="AA72" i="17"/>
  <c r="Z71" i="2"/>
  <c r="Z72" i="2" s="1"/>
  <c r="Z86" i="2" s="1"/>
  <c r="Z96" i="2"/>
  <c r="Z97" i="2" s="1"/>
  <c r="AA64" i="2"/>
  <c r="AA65" i="2" s="1"/>
  <c r="Z32" i="2"/>
  <c r="Z33" i="2" s="1"/>
  <c r="Z20" i="2"/>
  <c r="Z50" i="2" s="1"/>
  <c r="AA12" i="2"/>
  <c r="Z27" i="2"/>
  <c r="Z28" i="2" s="1"/>
  <c r="Z40" i="2"/>
  <c r="Z41" i="2" s="1"/>
  <c r="Z42" i="2" s="1"/>
  <c r="Z43" i="2" s="1"/>
  <c r="Z25" i="2"/>
  <c r="AC13" i="17" l="1"/>
  <c r="AC18" i="17" s="1"/>
  <c r="AC19" i="17" s="1"/>
  <c r="AA46" i="17"/>
  <c r="AA48" i="17" s="1"/>
  <c r="AB68" i="17"/>
  <c r="AB70" i="17" s="1"/>
  <c r="AB71" i="17" s="1"/>
  <c r="AB45" i="17" s="1"/>
  <c r="AB21" i="17"/>
  <c r="AB22" i="17" s="1"/>
  <c r="AB29" i="17"/>
  <c r="AB63" i="17"/>
  <c r="Z79" i="17"/>
  <c r="O8" i="17"/>
  <c r="Z26" i="2"/>
  <c r="Z46" i="2"/>
  <c r="Z47" i="2" s="1"/>
  <c r="AC15" i="17"/>
  <c r="AC32" i="17" s="1"/>
  <c r="AC33" i="17" s="1"/>
  <c r="AA75" i="17"/>
  <c r="AA82" i="2"/>
  <c r="AA83" i="2" s="1"/>
  <c r="AA70" i="2"/>
  <c r="AA96" i="2"/>
  <c r="AA97" i="2" s="1"/>
  <c r="Y51" i="2"/>
  <c r="Y52" i="2" s="1"/>
  <c r="Y55" i="2" s="1"/>
  <c r="AA13" i="2"/>
  <c r="AA18" i="2" s="1"/>
  <c r="AA19" i="2" s="1"/>
  <c r="AA14" i="2"/>
  <c r="Z29" i="2"/>
  <c r="Z21" i="2"/>
  <c r="Z22" i="2" s="1"/>
  <c r="AA90" i="2"/>
  <c r="AB62" i="2"/>
  <c r="AB63" i="2" s="1"/>
  <c r="AB68" i="2" s="1"/>
  <c r="AB69" i="2" s="1"/>
  <c r="AB36" i="17" l="1"/>
  <c r="AB44" i="17"/>
  <c r="AB74" i="17"/>
  <c r="AB73" i="17"/>
  <c r="AB43" i="17"/>
  <c r="AB40" i="17"/>
  <c r="AB41" i="17"/>
  <c r="AB72" i="17"/>
  <c r="AB39" i="17"/>
  <c r="AC69" i="17"/>
  <c r="AB42" i="17"/>
  <c r="AA77" i="17"/>
  <c r="AA81" i="17" s="1"/>
  <c r="AA82" i="17" s="1"/>
  <c r="AA79" i="17"/>
  <c r="AD12" i="17"/>
  <c r="AD13" i="17" s="1"/>
  <c r="AD18" i="17" s="1"/>
  <c r="AD19" i="17" s="1"/>
  <c r="AC25" i="17"/>
  <c r="AC68" i="17" s="1"/>
  <c r="AC20" i="17"/>
  <c r="AC58" i="17" s="1"/>
  <c r="AC59" i="17" s="1"/>
  <c r="AC27" i="17"/>
  <c r="AC28" i="17" s="1"/>
  <c r="AC52" i="17"/>
  <c r="AC53" i="17" s="1"/>
  <c r="AC54" i="17" s="1"/>
  <c r="AC55" i="17" s="1"/>
  <c r="AA71" i="2"/>
  <c r="AA72" i="2" s="1"/>
  <c r="AA86" i="2" s="1"/>
  <c r="J5" i="2"/>
  <c r="Y57" i="2"/>
  <c r="Z36" i="2"/>
  <c r="AA15" i="2"/>
  <c r="AB64" i="2"/>
  <c r="AB46" i="17" l="1"/>
  <c r="AB75" i="17"/>
  <c r="AB77" i="17" s="1"/>
  <c r="AB48" i="17"/>
  <c r="AC70" i="17"/>
  <c r="AC73" i="17" s="1"/>
  <c r="C5" i="2"/>
  <c r="Y58" i="2"/>
  <c r="AD14" i="17"/>
  <c r="AD15" i="17" s="1"/>
  <c r="AD32" i="17" s="1"/>
  <c r="AD33" i="17" s="1"/>
  <c r="AC26" i="17"/>
  <c r="AC29" i="17" s="1"/>
  <c r="AC21" i="17"/>
  <c r="AC22" i="17" s="1"/>
  <c r="C5" i="17"/>
  <c r="C7" i="17" s="1"/>
  <c r="C8" i="17" s="1"/>
  <c r="C7" i="2"/>
  <c r="AA32" i="2"/>
  <c r="AA33" i="2" s="1"/>
  <c r="AA20" i="2"/>
  <c r="AA50" i="2" s="1"/>
  <c r="AB12" i="2"/>
  <c r="AA25" i="2"/>
  <c r="AA27" i="2"/>
  <c r="AA28" i="2" s="1"/>
  <c r="AA40" i="2"/>
  <c r="AA41" i="2" s="1"/>
  <c r="AA42" i="2" s="1"/>
  <c r="AA43" i="2" s="1"/>
  <c r="AB65" i="2"/>
  <c r="AB81" i="17" l="1"/>
  <c r="AB82" i="17" s="1"/>
  <c r="AB79" i="17"/>
  <c r="AC71" i="17"/>
  <c r="AC42" i="17" s="1"/>
  <c r="AC72" i="17"/>
  <c r="AC39" i="17"/>
  <c r="AC36" i="17"/>
  <c r="AA26" i="2"/>
  <c r="AA29" i="2" s="1"/>
  <c r="AA46" i="2"/>
  <c r="AA47" i="2" s="1"/>
  <c r="AC60" i="17"/>
  <c r="AC63" i="17" s="1"/>
  <c r="AD27" i="17"/>
  <c r="AD28" i="17" s="1"/>
  <c r="AD25" i="17"/>
  <c r="AD52" i="17"/>
  <c r="AD53" i="17" s="1"/>
  <c r="AD54" i="17" s="1"/>
  <c r="AD55" i="17" s="1"/>
  <c r="AE12" i="17"/>
  <c r="AD20" i="17"/>
  <c r="AD58" i="17" s="1"/>
  <c r="AD59" i="17" s="1"/>
  <c r="AB82" i="2"/>
  <c r="AB83" i="2" s="1"/>
  <c r="AB70" i="2"/>
  <c r="Z51" i="2"/>
  <c r="Z52" i="2" s="1"/>
  <c r="Z55" i="2" s="1"/>
  <c r="Z57" i="2" s="1"/>
  <c r="Z58" i="2" s="1"/>
  <c r="AA21" i="2"/>
  <c r="AA22" i="2" s="1"/>
  <c r="AB13" i="2"/>
  <c r="AB18" i="2" s="1"/>
  <c r="AB19" i="2" s="1"/>
  <c r="AB14" i="2"/>
  <c r="AB71" i="2"/>
  <c r="AB72" i="2" s="1"/>
  <c r="AB90" i="2"/>
  <c r="AC62" i="2"/>
  <c r="AC63" i="2" s="1"/>
  <c r="AC68" i="2" s="1"/>
  <c r="AC69" i="2" s="1"/>
  <c r="AC40" i="17" l="1"/>
  <c r="AD69" i="17"/>
  <c r="AC43" i="17"/>
  <c r="AC45" i="17"/>
  <c r="AC41" i="17"/>
  <c r="AC44" i="17"/>
  <c r="AC74" i="17"/>
  <c r="AC75" i="17" s="1"/>
  <c r="AC77" i="17" s="1"/>
  <c r="AB96" i="2"/>
  <c r="AB97" i="2" s="1"/>
  <c r="AD21" i="17"/>
  <c r="AD22" i="17" s="1"/>
  <c r="AE14" i="17"/>
  <c r="AE13" i="17"/>
  <c r="AE18" i="17" s="1"/>
  <c r="AE19" i="17" s="1"/>
  <c r="AD68" i="17"/>
  <c r="AD70" i="17" s="1"/>
  <c r="AD71" i="17" s="1"/>
  <c r="AD45" i="17" s="1"/>
  <c r="AD26" i="17"/>
  <c r="AD29" i="17" s="1"/>
  <c r="AB15" i="2"/>
  <c r="AA36" i="2"/>
  <c r="AB86" i="2"/>
  <c r="AC64" i="2"/>
  <c r="AC46" i="17" l="1"/>
  <c r="AC48" i="17" s="1"/>
  <c r="AC81" i="17" s="1"/>
  <c r="AC82" i="17" s="1"/>
  <c r="AD44" i="17"/>
  <c r="AD74" i="17"/>
  <c r="AC79" i="17"/>
  <c r="AD40" i="17"/>
  <c r="AD73" i="17"/>
  <c r="AE15" i="17"/>
  <c r="AE32" i="17" s="1"/>
  <c r="AE33" i="17" s="1"/>
  <c r="AD36" i="17"/>
  <c r="AD43" i="17"/>
  <c r="AD72" i="17"/>
  <c r="AD42" i="17"/>
  <c r="AD41" i="17"/>
  <c r="AD39" i="17"/>
  <c r="AE69" i="17"/>
  <c r="AB32" i="2"/>
  <c r="AB33" i="2" s="1"/>
  <c r="AB20" i="2"/>
  <c r="AB50" i="2" s="1"/>
  <c r="AB25" i="2"/>
  <c r="AC12" i="2"/>
  <c r="AB27" i="2"/>
  <c r="AB28" i="2" s="1"/>
  <c r="AB40" i="2"/>
  <c r="AB41" i="2" s="1"/>
  <c r="AB42" i="2" s="1"/>
  <c r="AB43" i="2" s="1"/>
  <c r="AC65" i="2"/>
  <c r="AD46" i="17" l="1"/>
  <c r="AD75" i="17"/>
  <c r="AD48" i="17"/>
  <c r="AB26" i="2"/>
  <c r="AB29" i="2" s="1"/>
  <c r="AB46" i="2"/>
  <c r="AB47" i="2" s="1"/>
  <c r="AE27" i="17"/>
  <c r="AE28" i="17" s="1"/>
  <c r="AF12" i="17"/>
  <c r="AF14" i="17" s="1"/>
  <c r="AE25" i="17"/>
  <c r="AE52" i="17"/>
  <c r="AE53" i="17" s="1"/>
  <c r="AE54" i="17" s="1"/>
  <c r="AE55" i="17" s="1"/>
  <c r="AE20" i="17"/>
  <c r="AE58" i="17" s="1"/>
  <c r="AE59" i="17" s="1"/>
  <c r="AD60" i="17"/>
  <c r="AC82" i="2"/>
  <c r="AC83" i="2" s="1"/>
  <c r="AC70" i="2"/>
  <c r="AA51" i="2"/>
  <c r="AA52" i="2" s="1"/>
  <c r="AA55" i="2" s="1"/>
  <c r="AA57" i="2" s="1"/>
  <c r="AA58" i="2" s="1"/>
  <c r="AC13" i="2"/>
  <c r="AC18" i="2" s="1"/>
  <c r="AC19" i="2" s="1"/>
  <c r="AC14" i="2"/>
  <c r="AB21" i="2"/>
  <c r="AB22" i="2" s="1"/>
  <c r="AC90" i="2"/>
  <c r="AD62" i="2"/>
  <c r="AD63" i="2" s="1"/>
  <c r="AD68" i="2" s="1"/>
  <c r="AD69" i="2" s="1"/>
  <c r="AC96" i="2" l="1"/>
  <c r="AC97" i="2" s="1"/>
  <c r="AD79" i="17"/>
  <c r="AD63" i="17"/>
  <c r="AD77" i="17" s="1"/>
  <c r="AF13" i="17"/>
  <c r="AF18" i="17" s="1"/>
  <c r="AF19" i="17" s="1"/>
  <c r="AE68" i="17"/>
  <c r="AE70" i="17" s="1"/>
  <c r="AE71" i="17" s="1"/>
  <c r="AE45" i="17" s="1"/>
  <c r="AE26" i="17"/>
  <c r="AE29" i="17" s="1"/>
  <c r="AE21" i="17"/>
  <c r="AE22" i="17" s="1"/>
  <c r="AC71" i="2"/>
  <c r="AC72" i="2" s="1"/>
  <c r="AC86" i="2" s="1"/>
  <c r="AB36" i="2"/>
  <c r="AC15" i="2"/>
  <c r="AC27" i="2" s="1"/>
  <c r="AC28" i="2" s="1"/>
  <c r="AD64" i="2"/>
  <c r="AE44" i="17" l="1"/>
  <c r="AE74" i="17"/>
  <c r="AD81" i="17"/>
  <c r="AD82" i="17" s="1"/>
  <c r="AF15" i="17"/>
  <c r="AF32" i="17" s="1"/>
  <c r="AF33" i="17" s="1"/>
  <c r="AE40" i="17"/>
  <c r="AE43" i="17"/>
  <c r="AE36" i="17"/>
  <c r="AE42" i="17"/>
  <c r="AE39" i="17"/>
  <c r="AE73" i="17"/>
  <c r="AE72" i="17"/>
  <c r="AF69" i="17"/>
  <c r="AE41" i="17"/>
  <c r="AE60" i="17"/>
  <c r="AE63" i="17" s="1"/>
  <c r="AC32" i="2"/>
  <c r="AC33" i="2" s="1"/>
  <c r="AC20" i="2"/>
  <c r="AC50" i="2" s="1"/>
  <c r="AD12" i="2"/>
  <c r="AD14" i="2" s="1"/>
  <c r="AC25" i="2"/>
  <c r="AC40" i="2"/>
  <c r="AC41" i="2" s="1"/>
  <c r="AC42" i="2" s="1"/>
  <c r="AC43" i="2" s="1"/>
  <c r="AC21" i="2"/>
  <c r="AC22" i="2" s="1"/>
  <c r="AD65" i="2"/>
  <c r="AE46" i="17" l="1"/>
  <c r="AE48" i="17" s="1"/>
  <c r="AF27" i="17"/>
  <c r="AF28" i="17" s="1"/>
  <c r="AF52" i="17"/>
  <c r="AF53" i="17" s="1"/>
  <c r="AF54" i="17" s="1"/>
  <c r="AF55" i="17" s="1"/>
  <c r="AF20" i="17"/>
  <c r="AF21" i="17" s="1"/>
  <c r="AF22" i="17" s="1"/>
  <c r="AE75" i="17"/>
  <c r="AE77" i="17" s="1"/>
  <c r="AF25" i="17"/>
  <c r="AF68" i="17" s="1"/>
  <c r="AF70" i="17" s="1"/>
  <c r="AF71" i="17" s="1"/>
  <c r="AG12" i="17"/>
  <c r="AG13" i="17" s="1"/>
  <c r="AG18" i="17" s="1"/>
  <c r="AG19" i="17" s="1"/>
  <c r="AC26" i="2"/>
  <c r="AC29" i="2" s="1"/>
  <c r="AC36" i="2" s="1"/>
  <c r="AC46" i="2"/>
  <c r="AC47" i="2" s="1"/>
  <c r="AD13" i="2"/>
  <c r="AD18" i="2" s="1"/>
  <c r="AD19" i="2" s="1"/>
  <c r="AD82" i="2"/>
  <c r="AD83" i="2" s="1"/>
  <c r="AD70" i="2"/>
  <c r="AB51" i="2"/>
  <c r="AB52" i="2" s="1"/>
  <c r="AB55" i="2" s="1"/>
  <c r="AB57" i="2" s="1"/>
  <c r="AB58" i="2" s="1"/>
  <c r="AD90" i="2"/>
  <c r="AE62" i="2"/>
  <c r="AE63" i="2" s="1"/>
  <c r="AE68" i="2" s="1"/>
  <c r="AE69" i="2" s="1"/>
  <c r="AF74" i="17" l="1"/>
  <c r="AF45" i="17"/>
  <c r="AF58" i="17"/>
  <c r="AF59" i="17" s="1"/>
  <c r="AF60" i="17" s="1"/>
  <c r="AF63" i="17" s="1"/>
  <c r="AG14" i="17"/>
  <c r="AG15" i="17" s="1"/>
  <c r="AG32" i="17" s="1"/>
  <c r="AG33" i="17" s="1"/>
  <c r="AD96" i="2"/>
  <c r="AD97" i="2" s="1"/>
  <c r="AF26" i="17"/>
  <c r="AF29" i="17" s="1"/>
  <c r="AF36" i="17" s="1"/>
  <c r="AF39" i="17"/>
  <c r="AF40" i="17"/>
  <c r="AF44" i="17"/>
  <c r="AE79" i="17"/>
  <c r="AF72" i="17"/>
  <c r="AE81" i="17"/>
  <c r="AE82" i="17" s="1"/>
  <c r="AF73" i="17"/>
  <c r="AG69" i="17"/>
  <c r="AF43" i="17"/>
  <c r="AF41" i="17"/>
  <c r="AF42" i="17"/>
  <c r="AD15" i="2"/>
  <c r="AD32" i="2" s="1"/>
  <c r="AD33" i="2" s="1"/>
  <c r="AD71" i="2"/>
  <c r="AD72" i="2" s="1"/>
  <c r="AD86" i="2" s="1"/>
  <c r="AE64" i="2"/>
  <c r="AF46" i="17" l="1"/>
  <c r="AD25" i="2"/>
  <c r="AE12" i="2"/>
  <c r="AE13" i="2" s="1"/>
  <c r="AF48" i="17"/>
  <c r="AG20" i="17"/>
  <c r="AG58" i="17" s="1"/>
  <c r="AG59" i="17" s="1"/>
  <c r="AG25" i="17"/>
  <c r="AG68" i="17" s="1"/>
  <c r="AG70" i="17" s="1"/>
  <c r="AG52" i="17"/>
  <c r="AG53" i="17" s="1"/>
  <c r="AG54" i="17" s="1"/>
  <c r="AG55" i="17" s="1"/>
  <c r="AG27" i="17"/>
  <c r="AG28" i="17" s="1"/>
  <c r="AH12" i="17"/>
  <c r="AH14" i="17" s="1"/>
  <c r="AF75" i="17"/>
  <c r="AF77" i="17" s="1"/>
  <c r="AD26" i="2"/>
  <c r="AD46" i="2"/>
  <c r="AD47" i="2" s="1"/>
  <c r="AD40" i="2"/>
  <c r="AD41" i="2" s="1"/>
  <c r="AD42" i="2" s="1"/>
  <c r="AD43" i="2" s="1"/>
  <c r="AD20" i="2"/>
  <c r="AD50" i="2" s="1"/>
  <c r="AD27" i="2"/>
  <c r="AD28" i="2" s="1"/>
  <c r="AC51" i="2"/>
  <c r="AC52" i="2" s="1"/>
  <c r="AC55" i="2" s="1"/>
  <c r="AC57" i="2" s="1"/>
  <c r="AC58" i="2" s="1"/>
  <c r="AE65" i="2"/>
  <c r="AE14" i="2" l="1"/>
  <c r="AD29" i="2"/>
  <c r="AG26" i="17"/>
  <c r="AG29" i="17" s="1"/>
  <c r="AG21" i="17"/>
  <c r="AG22" i="17" s="1"/>
  <c r="AH13" i="17"/>
  <c r="AH18" i="17" s="1"/>
  <c r="AH19" i="17" s="1"/>
  <c r="AF79" i="17"/>
  <c r="AF81" i="17"/>
  <c r="AF82" i="17" s="1"/>
  <c r="AD21" i="2"/>
  <c r="AD22" i="2" s="1"/>
  <c r="AD36" i="2" s="1"/>
  <c r="AG71" i="17"/>
  <c r="AG39" i="17"/>
  <c r="AG73" i="17"/>
  <c r="AG72" i="17"/>
  <c r="AE82" i="2"/>
  <c r="AE83" i="2" s="1"/>
  <c r="AE70" i="2"/>
  <c r="AE18" i="2"/>
  <c r="AE19" i="2" s="1"/>
  <c r="AE15" i="2"/>
  <c r="AE90" i="2"/>
  <c r="AF62" i="2"/>
  <c r="AF63" i="2" s="1"/>
  <c r="AF68" i="2" s="1"/>
  <c r="AF69" i="2" s="1"/>
  <c r="AH15" i="17" l="1"/>
  <c r="AH25" i="17" s="1"/>
  <c r="AG74" i="17"/>
  <c r="AG45" i="17"/>
  <c r="AG36" i="17"/>
  <c r="AE96" i="2"/>
  <c r="AE97" i="2" s="1"/>
  <c r="AG40" i="17"/>
  <c r="AG44" i="17"/>
  <c r="AH68" i="17"/>
  <c r="AH27" i="17"/>
  <c r="AH28" i="17" s="1"/>
  <c r="AH20" i="17"/>
  <c r="AH32" i="17"/>
  <c r="AH33" i="17" s="1"/>
  <c r="AI12" i="17"/>
  <c r="AI14" i="17" s="1"/>
  <c r="AG60" i="17"/>
  <c r="AG63" i="17" s="1"/>
  <c r="AH26" i="17"/>
  <c r="AG41" i="17"/>
  <c r="AH69" i="17"/>
  <c r="AG42" i="17"/>
  <c r="AG75" i="17"/>
  <c r="AG43" i="17"/>
  <c r="AD51" i="2"/>
  <c r="AD52" i="2" s="1"/>
  <c r="AD55" i="2" s="1"/>
  <c r="AD57" i="2" s="1"/>
  <c r="AD58" i="2" s="1"/>
  <c r="AE71" i="2"/>
  <c r="AE72" i="2" s="1"/>
  <c r="AE86" i="2" s="1"/>
  <c r="AE20" i="2"/>
  <c r="AE50" i="2" s="1"/>
  <c r="AE25" i="2"/>
  <c r="AF12" i="2"/>
  <c r="AE32" i="2"/>
  <c r="AE33" i="2" s="1"/>
  <c r="AE40" i="2"/>
  <c r="AE41" i="2" s="1"/>
  <c r="AE42" i="2" s="1"/>
  <c r="AE43" i="2" s="1"/>
  <c r="AE27" i="2"/>
  <c r="AE28" i="2" s="1"/>
  <c r="AF64" i="2"/>
  <c r="AH52" i="17" l="1"/>
  <c r="AH53" i="17" s="1"/>
  <c r="AH54" i="17" s="1"/>
  <c r="AH55" i="17" s="1"/>
  <c r="AG46" i="17"/>
  <c r="AH70" i="17"/>
  <c r="AH72" i="17" s="1"/>
  <c r="AG48" i="17"/>
  <c r="AE26" i="2"/>
  <c r="AE29" i="2" s="1"/>
  <c r="AE46" i="2"/>
  <c r="AE47" i="2" s="1"/>
  <c r="AH29" i="17"/>
  <c r="AI13" i="17"/>
  <c r="AI18" i="17" s="1"/>
  <c r="AI19" i="17" s="1"/>
  <c r="AH21" i="17"/>
  <c r="AH22" i="17" s="1"/>
  <c r="AH58" i="17"/>
  <c r="AH59" i="17" s="1"/>
  <c r="AH60" i="17" s="1"/>
  <c r="AG77" i="17"/>
  <c r="AF14" i="2"/>
  <c r="AF13" i="2"/>
  <c r="AF18" i="2" s="1"/>
  <c r="AF19" i="2" s="1"/>
  <c r="AE21" i="2"/>
  <c r="AE22" i="2" s="1"/>
  <c r="AF65" i="2"/>
  <c r="AH63" i="17" l="1"/>
  <c r="AH71" i="17"/>
  <c r="AH45" i="17" s="1"/>
  <c r="AH73" i="17"/>
  <c r="AH39" i="17"/>
  <c r="AG79" i="17"/>
  <c r="AH40" i="17"/>
  <c r="AH36" i="17"/>
  <c r="AI15" i="17"/>
  <c r="AI32" i="17" s="1"/>
  <c r="AI33" i="17" s="1"/>
  <c r="AI69" i="17"/>
  <c r="AH41" i="17"/>
  <c r="AG81" i="17"/>
  <c r="AG82" i="17" s="1"/>
  <c r="AF82" i="2"/>
  <c r="AF83" i="2" s="1"/>
  <c r="AF70" i="2"/>
  <c r="AE36" i="2"/>
  <c r="AF15" i="2"/>
  <c r="AG62" i="2"/>
  <c r="AG63" i="2" s="1"/>
  <c r="AG68" i="2" s="1"/>
  <c r="AG69" i="2" s="1"/>
  <c r="AF90" i="2"/>
  <c r="AH43" i="17" l="1"/>
  <c r="AH42" i="17"/>
  <c r="AH44" i="17"/>
  <c r="AH74" i="17"/>
  <c r="AH75" i="17" s="1"/>
  <c r="AH77" i="17" s="1"/>
  <c r="AF96" i="2"/>
  <c r="AF97" i="2" s="1"/>
  <c r="AI20" i="17"/>
  <c r="AI27" i="17"/>
  <c r="AI28" i="17" s="1"/>
  <c r="AJ12" i="17"/>
  <c r="AI25" i="17"/>
  <c r="AI52" i="17"/>
  <c r="AI53" i="17" s="1"/>
  <c r="AI54" i="17" s="1"/>
  <c r="AI55" i="17" s="1"/>
  <c r="AF71" i="2"/>
  <c r="AF72" i="2" s="1"/>
  <c r="AF86" i="2" s="1"/>
  <c r="AE51" i="2"/>
  <c r="AE52" i="2" s="1"/>
  <c r="AE55" i="2" s="1"/>
  <c r="AE57" i="2" s="1"/>
  <c r="AE58" i="2" s="1"/>
  <c r="AF20" i="2"/>
  <c r="AF50" i="2" s="1"/>
  <c r="AF32" i="2"/>
  <c r="AF33" i="2" s="1"/>
  <c r="AF25" i="2"/>
  <c r="AF27" i="2"/>
  <c r="AF28" i="2" s="1"/>
  <c r="AF40" i="2"/>
  <c r="AF41" i="2" s="1"/>
  <c r="AF42" i="2" s="1"/>
  <c r="AF43" i="2" s="1"/>
  <c r="AG12" i="2"/>
  <c r="AG64" i="2"/>
  <c r="AH46" i="17" l="1"/>
  <c r="AH48" i="17" s="1"/>
  <c r="AH79" i="17"/>
  <c r="AH81" i="17"/>
  <c r="AH82" i="17" s="1"/>
  <c r="AI68" i="17"/>
  <c r="AI70" i="17" s="1"/>
  <c r="AI72" i="17" s="1"/>
  <c r="AI26" i="17"/>
  <c r="AI29" i="17" s="1"/>
  <c r="AJ14" i="17"/>
  <c r="AJ13" i="17"/>
  <c r="AI21" i="17"/>
  <c r="AI22" i="17" s="1"/>
  <c r="AI58" i="17"/>
  <c r="AI59" i="17" s="1"/>
  <c r="AI60" i="17" s="1"/>
  <c r="AI63" i="17" s="1"/>
  <c r="AF26" i="2"/>
  <c r="AF46" i="2"/>
  <c r="AF47" i="2" s="1"/>
  <c r="AF29" i="2"/>
  <c r="AG13" i="2"/>
  <c r="AG18" i="2" s="1"/>
  <c r="AG19" i="2" s="1"/>
  <c r="AG14" i="2"/>
  <c r="AF21" i="2"/>
  <c r="AF22" i="2" s="1"/>
  <c r="AG65" i="2"/>
  <c r="AI36" i="17" l="1"/>
  <c r="AI39" i="17"/>
  <c r="AJ18" i="17"/>
  <c r="AJ19" i="17" s="1"/>
  <c r="AJ15" i="17"/>
  <c r="AI71" i="17"/>
  <c r="AI73" i="17"/>
  <c r="AG15" i="2"/>
  <c r="AG25" i="2" s="1"/>
  <c r="AG82" i="2"/>
  <c r="AG83" i="2" s="1"/>
  <c r="AG70" i="2"/>
  <c r="AF36" i="2"/>
  <c r="AG90" i="2"/>
  <c r="AH62" i="2"/>
  <c r="AH63" i="2" s="1"/>
  <c r="AH68" i="2" s="1"/>
  <c r="AH69" i="2" s="1"/>
  <c r="AI74" i="17" l="1"/>
  <c r="AI45" i="17"/>
  <c r="AG96" i="2"/>
  <c r="AG97" i="2" s="1"/>
  <c r="AG40" i="2"/>
  <c r="AG41" i="2" s="1"/>
  <c r="AG42" i="2" s="1"/>
  <c r="AG43" i="2" s="1"/>
  <c r="AI40" i="17"/>
  <c r="AI44" i="17"/>
  <c r="AJ69" i="17"/>
  <c r="AI41" i="17"/>
  <c r="AI43" i="17"/>
  <c r="AI42" i="17"/>
  <c r="AI75" i="17"/>
  <c r="AJ25" i="17"/>
  <c r="AJ20" i="17"/>
  <c r="AJ27" i="17"/>
  <c r="AJ28" i="17" s="1"/>
  <c r="AK12" i="17"/>
  <c r="AJ32" i="17"/>
  <c r="AJ33" i="17" s="1"/>
  <c r="AJ52" i="17"/>
  <c r="AJ53" i="17" s="1"/>
  <c r="AJ54" i="17" s="1"/>
  <c r="AJ55" i="17" s="1"/>
  <c r="AG26" i="2"/>
  <c r="AG46" i="2"/>
  <c r="AG47" i="2" s="1"/>
  <c r="AH12" i="2"/>
  <c r="AH14" i="2" s="1"/>
  <c r="AG20" i="2"/>
  <c r="AG50" i="2" s="1"/>
  <c r="AG27" i="2"/>
  <c r="AG28" i="2" s="1"/>
  <c r="AG32" i="2"/>
  <c r="AG33" i="2" s="1"/>
  <c r="AG71" i="2"/>
  <c r="AG72" i="2" s="1"/>
  <c r="AG86" i="2" s="1"/>
  <c r="AF51" i="2"/>
  <c r="AF52" i="2" s="1"/>
  <c r="AF55" i="2" s="1"/>
  <c r="AF57" i="2" s="1"/>
  <c r="AF58" i="2" s="1"/>
  <c r="AH64" i="2"/>
  <c r="AI46" i="17" l="1"/>
  <c r="AH13" i="2"/>
  <c r="AG29" i="2"/>
  <c r="AI48" i="17"/>
  <c r="AI77" i="17"/>
  <c r="AJ26" i="17"/>
  <c r="AJ29" i="17" s="1"/>
  <c r="AJ68" i="17"/>
  <c r="AJ70" i="17" s="1"/>
  <c r="AK14" i="17"/>
  <c r="J6" i="17" s="1"/>
  <c r="K6" i="17" s="1"/>
  <c r="AK13" i="17"/>
  <c r="AJ21" i="17"/>
  <c r="AJ22" i="17" s="1"/>
  <c r="AJ58" i="17"/>
  <c r="AJ59" i="17" s="1"/>
  <c r="AJ60" i="17" s="1"/>
  <c r="AJ63" i="17" s="1"/>
  <c r="AG21" i="2"/>
  <c r="AG22" i="2" s="1"/>
  <c r="AG36" i="2" s="1"/>
  <c r="AH18" i="2"/>
  <c r="AH19" i="2" s="1"/>
  <c r="AH15" i="2"/>
  <c r="AH65" i="2"/>
  <c r="AI79" i="17" l="1"/>
  <c r="AI81" i="17"/>
  <c r="AI82" i="17" s="1"/>
  <c r="AK18" i="17"/>
  <c r="AK19" i="17" s="1"/>
  <c r="AK15" i="17"/>
  <c r="AJ36" i="17"/>
  <c r="AJ71" i="17"/>
  <c r="AJ72" i="17"/>
  <c r="AJ73" i="17"/>
  <c r="AJ39" i="17"/>
  <c r="AH82" i="2"/>
  <c r="AH83" i="2" s="1"/>
  <c r="AH70" i="2"/>
  <c r="AH20" i="2"/>
  <c r="AH50" i="2" s="1"/>
  <c r="AH40" i="2"/>
  <c r="AH41" i="2" s="1"/>
  <c r="AH42" i="2" s="1"/>
  <c r="AH43" i="2" s="1"/>
  <c r="AH25" i="2"/>
  <c r="AH32" i="2"/>
  <c r="AH33" i="2" s="1"/>
  <c r="AI12" i="2"/>
  <c r="AH27" i="2"/>
  <c r="AH28" i="2" s="1"/>
  <c r="AI62" i="2"/>
  <c r="AI63" i="2" s="1"/>
  <c r="AI68" i="2" s="1"/>
  <c r="AI69" i="2" s="1"/>
  <c r="AH90" i="2"/>
  <c r="AJ74" i="17" l="1"/>
  <c r="AJ45" i="17"/>
  <c r="AH96" i="2"/>
  <c r="AH97" i="2" s="1"/>
  <c r="AJ40" i="17"/>
  <c r="AJ44" i="17"/>
  <c r="AK25" i="17"/>
  <c r="AK32" i="17"/>
  <c r="AK33" i="17" s="1"/>
  <c r="AK20" i="17"/>
  <c r="AK52" i="17"/>
  <c r="AK53" i="17" s="1"/>
  <c r="AK54" i="17" s="1"/>
  <c r="AK55" i="17" s="1"/>
  <c r="AK27" i="17"/>
  <c r="AK28" i="17" s="1"/>
  <c r="AJ75" i="17"/>
  <c r="AJ41" i="17"/>
  <c r="AJ42" i="17"/>
  <c r="AK69" i="17"/>
  <c r="AJ43" i="17"/>
  <c r="AH71" i="2"/>
  <c r="AH72" i="2" s="1"/>
  <c r="AH26" i="2"/>
  <c r="AH29" i="2" s="1"/>
  <c r="AH46" i="2"/>
  <c r="AH47" i="2" s="1"/>
  <c r="AG51" i="2"/>
  <c r="AG52" i="2" s="1"/>
  <c r="AG55" i="2" s="1"/>
  <c r="AG57" i="2" s="1"/>
  <c r="AG58" i="2" s="1"/>
  <c r="AI13" i="2"/>
  <c r="AI14" i="2"/>
  <c r="AH21" i="2"/>
  <c r="AH22" i="2" s="1"/>
  <c r="AH86" i="2"/>
  <c r="AI64" i="2"/>
  <c r="AJ46" i="17" l="1"/>
  <c r="AJ48" i="17" s="1"/>
  <c r="AJ77" i="17"/>
  <c r="AK26" i="17"/>
  <c r="AK29" i="17" s="1"/>
  <c r="AK68" i="17"/>
  <c r="AK70" i="17" s="1"/>
  <c r="AK71" i="17" s="1"/>
  <c r="AK58" i="17"/>
  <c r="AK59" i="17" s="1"/>
  <c r="AK60" i="17" s="1"/>
  <c r="AK63" i="17" s="1"/>
  <c r="AK21" i="17"/>
  <c r="AK22" i="17" s="1"/>
  <c r="AH36" i="2"/>
  <c r="AI15" i="2"/>
  <c r="AI18" i="2"/>
  <c r="AI19" i="2" s="1"/>
  <c r="AI65" i="2"/>
  <c r="AI70" i="2" s="1"/>
  <c r="AK74" i="17" l="1"/>
  <c r="AK45" i="17"/>
  <c r="AK40" i="17"/>
  <c r="AK44" i="17"/>
  <c r="AJ79" i="17"/>
  <c r="AK36" i="17"/>
  <c r="AJ81" i="17"/>
  <c r="AJ82" i="17" s="1"/>
  <c r="AK42" i="17"/>
  <c r="AK43" i="17"/>
  <c r="AK41" i="17"/>
  <c r="AK73" i="17"/>
  <c r="AK72" i="17"/>
  <c r="AK39" i="17"/>
  <c r="AI20" i="2"/>
  <c r="AI50" i="2" s="1"/>
  <c r="AI25" i="2"/>
  <c r="AI40" i="2"/>
  <c r="AI41" i="2" s="1"/>
  <c r="AI42" i="2" s="1"/>
  <c r="AI43" i="2" s="1"/>
  <c r="AI32" i="2"/>
  <c r="AI33" i="2" s="1"/>
  <c r="AI27" i="2"/>
  <c r="AI28" i="2" s="1"/>
  <c r="AJ12" i="2"/>
  <c r="AI96" i="2"/>
  <c r="AI97" i="2" s="1"/>
  <c r="AJ62" i="2"/>
  <c r="AI82" i="2"/>
  <c r="AI83" i="2" s="1"/>
  <c r="AI90" i="2"/>
  <c r="AI71" i="2"/>
  <c r="AI72" i="2" s="1"/>
  <c r="AK46" i="17" l="1"/>
  <c r="AK48" i="17" s="1"/>
  <c r="AK75" i="17"/>
  <c r="AI26" i="2"/>
  <c r="AI29" i="2" s="1"/>
  <c r="AI46" i="2"/>
  <c r="AI47" i="2" s="1"/>
  <c r="AH51" i="2"/>
  <c r="AH52" i="2" s="1"/>
  <c r="AH55" i="2" s="1"/>
  <c r="AH57" i="2" s="1"/>
  <c r="AH58" i="2" s="1"/>
  <c r="AJ13" i="2"/>
  <c r="AJ18" i="2" s="1"/>
  <c r="AJ19" i="2" s="1"/>
  <c r="AJ14" i="2"/>
  <c r="AI21" i="2"/>
  <c r="AI22" i="2" s="1"/>
  <c r="AJ64" i="2"/>
  <c r="AJ63" i="2"/>
  <c r="AJ68" i="2" s="1"/>
  <c r="AJ69" i="2" s="1"/>
  <c r="AI86" i="2"/>
  <c r="AI36" i="2" l="1"/>
  <c r="AK79" i="17"/>
  <c r="AK77" i="17"/>
  <c r="AJ15" i="2"/>
  <c r="AJ20" i="2" s="1"/>
  <c r="AJ50" i="2" s="1"/>
  <c r="AJ65" i="2"/>
  <c r="AK81" i="17" l="1"/>
  <c r="D6" i="17" s="1"/>
  <c r="E6" i="17" s="1"/>
  <c r="P6" i="17"/>
  <c r="AJ40" i="2"/>
  <c r="AJ41" i="2" s="1"/>
  <c r="AJ42" i="2" s="1"/>
  <c r="AJ43" i="2" s="1"/>
  <c r="AK12" i="2"/>
  <c r="AJ25" i="2"/>
  <c r="AJ46" i="2" s="1"/>
  <c r="AJ47" i="2" s="1"/>
  <c r="AJ27" i="2"/>
  <c r="AJ28" i="2" s="1"/>
  <c r="AJ32" i="2"/>
  <c r="AJ33" i="2" s="1"/>
  <c r="AJ21" i="2"/>
  <c r="AJ22" i="2" s="1"/>
  <c r="AK62" i="2"/>
  <c r="AK64" i="2" s="1"/>
  <c r="AJ70" i="2"/>
  <c r="AJ90" i="2"/>
  <c r="AJ82" i="2"/>
  <c r="AJ83" i="2" s="1"/>
  <c r="AK82" i="17" l="1"/>
  <c r="P7" i="17"/>
  <c r="Q6" i="17"/>
  <c r="AJ96" i="2"/>
  <c r="AJ97" i="2" s="1"/>
  <c r="AJ26" i="2"/>
  <c r="AJ29" i="2" s="1"/>
  <c r="AJ36" i="2" s="1"/>
  <c r="AK13" i="2"/>
  <c r="AK14" i="2"/>
  <c r="K6" i="2" s="1"/>
  <c r="L6" i="2" s="1"/>
  <c r="AK63" i="2"/>
  <c r="AK68" i="2" s="1"/>
  <c r="AK69" i="2" s="1"/>
  <c r="AJ71" i="2"/>
  <c r="AJ72" i="2" s="1"/>
  <c r="AJ86" i="2" s="1"/>
  <c r="AJ51" i="2"/>
  <c r="AJ52" i="2" s="1"/>
  <c r="AJ55" i="2" s="1"/>
  <c r="AI51" i="2"/>
  <c r="AI52" i="2" s="1"/>
  <c r="AI55" i="2" s="1"/>
  <c r="AI57" i="2" s="1"/>
  <c r="AI58" i="2" s="1"/>
  <c r="P8" i="17" l="1"/>
  <c r="Q7" i="17"/>
  <c r="Q8" i="17" s="1"/>
  <c r="AJ57" i="2"/>
  <c r="AJ58" i="2" s="1"/>
  <c r="J5" i="17"/>
  <c r="J7" i="17" s="1"/>
  <c r="J8" i="17" s="1"/>
  <c r="AK65" i="2"/>
  <c r="AK82" i="2" s="1"/>
  <c r="AK83" i="2" s="1"/>
  <c r="AK18" i="2"/>
  <c r="AK19" i="2" s="1"/>
  <c r="AK15" i="2"/>
  <c r="K5" i="17"/>
  <c r="AK90" i="2"/>
  <c r="K7" i="17" l="1"/>
  <c r="K8" i="17" s="1"/>
  <c r="AK70" i="2"/>
  <c r="AK20" i="2"/>
  <c r="AK25" i="2"/>
  <c r="AK32" i="2"/>
  <c r="AK33" i="2" s="1"/>
  <c r="AK40" i="2"/>
  <c r="AK41" i="2" s="1"/>
  <c r="AK42" i="2" s="1"/>
  <c r="AK43" i="2" s="1"/>
  <c r="AK27" i="2"/>
  <c r="AK28" i="2" s="1"/>
  <c r="AK71" i="2"/>
  <c r="AK72" i="2" s="1"/>
  <c r="AK86" i="2" s="1"/>
  <c r="AK96" i="2"/>
  <c r="AK97" i="2" s="1"/>
  <c r="AK46" i="2" l="1"/>
  <c r="AK47" i="2" s="1"/>
  <c r="AK26" i="2"/>
  <c r="AK29" i="2" s="1"/>
  <c r="AK21" i="2"/>
  <c r="AK22" i="2" s="1"/>
  <c r="AK50" i="2"/>
  <c r="AK51" i="2" s="1"/>
  <c r="AK52" i="2" s="1"/>
  <c r="AK55" i="2" s="1"/>
  <c r="K5" i="2" s="1"/>
  <c r="L5" i="2" s="1"/>
  <c r="D6" i="2"/>
  <c r="AK36" i="2" l="1"/>
  <c r="AK57" i="2" s="1"/>
  <c r="AK58" i="2" s="1"/>
  <c r="E6" i="2"/>
  <c r="E4" i="17" s="1"/>
  <c r="D4" i="17"/>
  <c r="D5" i="2"/>
  <c r="D7" i="2" l="1"/>
  <c r="D5" i="17"/>
  <c r="E5" i="2"/>
  <c r="E7" i="2" s="1"/>
  <c r="D7" i="17" l="1"/>
  <c r="D8" i="17" s="1"/>
  <c r="E5" i="17"/>
  <c r="E8" i="17" s="1"/>
</calcChain>
</file>

<file path=xl/sharedStrings.xml><?xml version="1.0" encoding="utf-8"?>
<sst xmlns="http://schemas.openxmlformats.org/spreadsheetml/2006/main" count="553" uniqueCount="383">
  <si>
    <t>Customer Base</t>
  </si>
  <si>
    <t>Call Center</t>
  </si>
  <si>
    <t>Total Active Customers - 1st of Month</t>
  </si>
  <si>
    <t xml:space="preserve">New Sales </t>
  </si>
  <si>
    <t xml:space="preserve">Expected Revenue </t>
  </si>
  <si>
    <t>Month 1</t>
  </si>
  <si>
    <t>Month 2</t>
  </si>
  <si>
    <t>Month 3</t>
  </si>
  <si>
    <t>Month 4</t>
  </si>
  <si>
    <t>Month 5</t>
  </si>
  <si>
    <t>Month 6</t>
  </si>
  <si>
    <t>Month 7</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</si>
  <si>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</si>
  <si>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</si>
  <si>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</si>
  <si>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</si>
  <si>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</si>
  <si>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</si>
  <si>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</si>
  <si>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</si>
  <si>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</si>
  <si>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</si>
  <si>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</si>
  <si>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</si>
  <si>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</si>
  <si>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</si>
  <si>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</si>
  <si>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</si>
  <si>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</si>
  <si>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Revenue Loss - Payment Frictions</t>
  </si>
  <si>
    <t>Total active customers that face heavy payment frictions</t>
  </si>
  <si>
    <t>Actual monthly revenue per customer facing payment frictions</t>
  </si>
  <si>
    <t>Monthly revenue loss per customer due to payment frictions</t>
  </si>
  <si>
    <t>Revenue loss from churn due to payment frictions</t>
  </si>
  <si>
    <t>Current Business Model</t>
  </si>
  <si>
    <t xml:space="preserve">OBJECTIVE </t>
  </si>
  <si>
    <t>DISCLAIMER</t>
  </si>
  <si>
    <t>Deposit / initial payment</t>
  </si>
  <si>
    <t>Monthly non-usage days for customers experiencing payment frictions</t>
  </si>
  <si>
    <t>Payment Frictions and Churn</t>
  </si>
  <si>
    <t>Total number of calls fielded</t>
  </si>
  <si>
    <t>Payment friction calls fielded</t>
  </si>
  <si>
    <t>Call center costs to handle payment friction calls</t>
  </si>
  <si>
    <t>Number of call center reps needed for payment friction calls</t>
  </si>
  <si>
    <t>Customer churn due to payment frictions</t>
  </si>
  <si>
    <t>Total add'l commission paid to facilitate heavy friction top-ups</t>
  </si>
  <si>
    <t>Month 25</t>
  </si>
  <si>
    <t>Month 26</t>
  </si>
  <si>
    <t>Month 27</t>
  </si>
  <si>
    <t>Month 28</t>
  </si>
  <si>
    <t>Month 29</t>
  </si>
  <si>
    <t>Month 30</t>
  </si>
  <si>
    <t>Month 31</t>
  </si>
  <si>
    <t>Month 32</t>
  </si>
  <si>
    <t>Month 33</t>
  </si>
  <si>
    <t>Month 34</t>
  </si>
  <si>
    <t>Month 35</t>
  </si>
  <si>
    <t>Month 36</t>
  </si>
  <si>
    <t xml:space="preserve">Payment Management Costs </t>
  </si>
  <si>
    <t>Year 1</t>
  </si>
  <si>
    <t>Year 2</t>
  </si>
  <si>
    <t>Year 3</t>
  </si>
  <si>
    <t>Total Revenue, Net of Payment Friction Costs</t>
  </si>
  <si>
    <t>Payment Friction Costs</t>
  </si>
  <si>
    <t>Churn</t>
  </si>
  <si>
    <t>Initial e-float buy-in per agent</t>
  </si>
  <si>
    <t>Individual Agent Economics</t>
  </si>
  <si>
    <t>Avg value of cash-out txn</t>
  </si>
  <si>
    <t>Monthly in/out-bound call volume as a % of total active customers</t>
  </si>
  <si>
    <t>Cumulative 3-yr</t>
  </si>
  <si>
    <t>Master Agent Model</t>
  </si>
  <si>
    <t>Current Product Offerings and Customer Segmentation</t>
  </si>
  <si>
    <t>Master Agent Model's Expected Impact on Payment Friction Variables</t>
  </si>
  <si>
    <t>Monthly operational expenses</t>
  </si>
  <si>
    <t>Avg value of cash-in txn</t>
  </si>
  <si>
    <t>Monthly rebalancing costs</t>
  </si>
  <si>
    <t>Average value per Cash-Out txn</t>
  </si>
  <si>
    <t>Commission per Cash-Out txn (%)</t>
  </si>
  <si>
    <t>Avg number Cash-Out txns monthly</t>
  </si>
  <si>
    <t>Commission per Cash-Out txn ($)</t>
  </si>
  <si>
    <t>B1. MASTER AGENT INPUTS</t>
  </si>
  <si>
    <t>B2.  MASTER AGENT MODEL</t>
  </si>
  <si>
    <t xml:space="preserve">This worksheet outlines the break even for an individual agent under the proposed Master Agent model. </t>
  </si>
  <si>
    <t>Average net loss from one churned customer</t>
  </si>
  <si>
    <t xml:space="preserve">Full version of the financial model describing the expected customer base, revenue, and payment management costs if the PAYGo operator were to deploy a mobile money master agent model to address payment frictions. </t>
  </si>
  <si>
    <t>Annual Customer Churn</t>
  </si>
  <si>
    <t>Total Customers lost per year</t>
  </si>
  <si>
    <t>Master Agent Network Setup + Economics</t>
  </si>
  <si>
    <t>Number of rural PAYGo customers served per agent</t>
  </si>
  <si>
    <t>Operational costs to recruit and onboard one new agent</t>
  </si>
  <si>
    <t>Number of active customers as of month 1</t>
  </si>
  <si>
    <t>Total Number of Agents required to serve remote customers</t>
  </si>
  <si>
    <t>Total active agents, month start</t>
  </si>
  <si>
    <t>New agents activated</t>
  </si>
  <si>
    <t>Total active agents, month end</t>
  </si>
  <si>
    <t>Agent onboarding costs</t>
  </si>
  <si>
    <t>Initial float purchase</t>
  </si>
  <si>
    <t>Agent monitoring &amp; liquidity management costs</t>
  </si>
  <si>
    <t>Number of new mobile wallets activated monthly, per agent</t>
  </si>
  <si>
    <t>Commission from activating new agents</t>
  </si>
  <si>
    <t>Additional Costs</t>
  </si>
  <si>
    <t>Expected Revenue - Core PAYGo Business</t>
  </si>
  <si>
    <t>A.1 BASE MODEL INPUTS</t>
  </si>
  <si>
    <t>A.2 BASE MODEL</t>
  </si>
  <si>
    <t>Product Offerings</t>
  </si>
  <si>
    <t>Average number of payments per month by an individual customer</t>
  </si>
  <si>
    <t xml:space="preserve">This section is used to input different variables and assumptions to model the master agent business model.  </t>
  </si>
  <si>
    <t>Back to Home</t>
  </si>
  <si>
    <t>INSTRUCTIONS</t>
  </si>
  <si>
    <t>FRONTIER AGENTS - EVALUATING LAST-MILE AGENT OPTIONS FOR PAYGO SOLAR</t>
  </si>
  <si>
    <t>Avg increase in repayment term for customers facing payment frictions (months)</t>
  </si>
  <si>
    <t>Expected top-up per payment</t>
  </si>
  <si>
    <t>Expected monthly payment</t>
  </si>
  <si>
    <t>Cost of collecting these payments</t>
  </si>
  <si>
    <t>Average Cash-out revenue per transaction</t>
  </si>
  <si>
    <t>Composite cost, average per customer = (Bill Payment Fee MNO1*% of customers that pay via MNO1 wallet + Bill Payment Fee MNO 2*% of customers that pay via MNO2 wallet + …)</t>
  </si>
  <si>
    <t>Revenue Loss - Payment Friction Reasons</t>
  </si>
  <si>
    <t>Additional commission paid for workarounds; as % of revenue collected from customers facing heavy payment frictions</t>
  </si>
  <si>
    <t>Est. Loss Due to Payment Frictions</t>
  </si>
  <si>
    <t>Cash-Out Economics</t>
  </si>
  <si>
    <t>Agent cash-out commission %</t>
  </si>
  <si>
    <t>Bill Payment</t>
  </si>
  <si>
    <t>Cost of bill payment, borne by customer</t>
  </si>
  <si>
    <t>Bill pay commission to agent</t>
  </si>
  <si>
    <t>% of expected revenue collected with the Master Agent model</t>
  </si>
  <si>
    <t>Average value per Bill Pay txn</t>
  </si>
  <si>
    <t>Commission per Bill Pay txn (%)</t>
  </si>
  <si>
    <t>Avg number Bill Pay txns monthly</t>
  </si>
  <si>
    <t>Commission per Bill Pay txn ($)</t>
  </si>
  <si>
    <t>Fixed Costs (one-time) recyclable</t>
  </si>
  <si>
    <t>Number of churned customers, due to non-payment reasons</t>
  </si>
  <si>
    <t>A weighted expected monthly payment per customer could also be inputed here. For e.g. if 50% of your customers were on Product type A, 30% on Product B, and 20% on Product type C, then your weighted average expected revenue per customer would be = 50% (Rev for A in Month 1)+30% (Rev for B in Month 1) + 20% (Rev for C in Month 1)</t>
  </si>
  <si>
    <t>This is just an estimate. Cost of churn will vary from company to company, but usually includes a per-unit cost of sales (acquisition, onboarding), COGS, and any estimated service costs for the period from onboarding to churn date</t>
  </si>
  <si>
    <t>The objective of this workbook is to provide PAYGo solar companies with a tool for (a) measuring the financial impact of payment frictions on their current business and (b) to evaluate a mobile money master agent strategy as a means of reducing those frictions.</t>
  </si>
  <si>
    <t xml:space="preserve">The model is based on a series of assumptions and hence by default merely offers an indicative picture of the potential impact on revenue and costs of deploying a master agent strategy. As such, it aims to present a useful starting point to help providers think through viability and profitability considerations around, and to inform the shaping of, such a strategy. PAYGo providers interested in exploring this approach should customize the model based on the specific data points and assumptions applying to their business and operational context. </t>
  </si>
  <si>
    <t xml:space="preserve">Please fill out cells marked </t>
  </si>
  <si>
    <t xml:space="preserve"> Cash-In Economics</t>
  </si>
  <si>
    <t xml:space="preserve">Master Agent cash-in commission </t>
  </si>
  <si>
    <t xml:space="preserve">Agent cash-in commission </t>
  </si>
  <si>
    <t>Costs and Churn</t>
  </si>
  <si>
    <t>Total Revenue, Net of Payment Friction Losses</t>
  </si>
  <si>
    <t>Total revenue loss due to payment frictions</t>
  </si>
  <si>
    <t>Incremental retention</t>
  </si>
  <si>
    <t xml:space="preserve"> - </t>
  </si>
  <si>
    <t>Start by entering the size of the current customer base, an average monthly growth in users, and an assumed month-to-month increase in sales</t>
  </si>
  <si>
    <t xml:space="preserve">Next enter data describing your current understanding of how payment frictions impact your customer base.  Start by estimating the percentage of your total customer base that experiences payment frictions significant enough to impact the timing of their payments or satisfaction with the service.  For this segment of your customer base, enter the number of days each month you estimate these users will not have credit on their system due to payment frictions. </t>
  </si>
  <si>
    <t xml:space="preserve">Enter estimates of the volume of call center activity related to addressing payment frictions, and the associated costs. </t>
  </si>
  <si>
    <t xml:space="preserve">Finally, input any additional commission paid to facilitate payments for customers experiencing heavy payment frictions, which could be an amount paid to your own agents to collect cash from remote customers. </t>
  </si>
  <si>
    <t>The navigation of this worksheet is through the tabs in order from left to right.</t>
  </si>
  <si>
    <t xml:space="preserve">Start by entering the estimated software and setup costs required to establish the master agent business, if any.  Next input the expected headcount and salaries to manage the master agent business, and the variable costs expected to onboard and manage each agent. </t>
  </si>
  <si>
    <t xml:space="preserve">Next estimate the impact the master agent business will have on payment delays, customer churn, and payment management costs. </t>
  </si>
  <si>
    <t xml:space="preserve">Chart 4 compares the total revenue net of payment management costs between the current business model and the master agent scenario. </t>
  </si>
  <si>
    <t xml:space="preserve">Chart 5 compares the total annual customer churn between the current and master agent business models. </t>
  </si>
  <si>
    <t xml:space="preserve">Chart 6 shows the number of mobile money agents required under the master agent model </t>
  </si>
  <si>
    <t xml:space="preserve">Monthly rate of new customer acquisition </t>
  </si>
  <si>
    <t>Number of new customers added per month, as of month 1</t>
  </si>
  <si>
    <t>Share of customers that face heavy payment frictions</t>
  </si>
  <si>
    <t>Share of all calls related to payment frictions</t>
  </si>
  <si>
    <t>Regular (non-friction) Payment Collection Costs</t>
  </si>
  <si>
    <t xml:space="preserve">Initial float buy-in (Agent) - one time </t>
  </si>
  <si>
    <t xml:space="preserve">In order to avoid any error, all sheets and the structure of the workbook is protected.  </t>
  </si>
  <si>
    <t>The password to open the workbook is 123456 and the password to modify inputs is 1234</t>
  </si>
  <si>
    <t>All inputs for the model are entered in sheets A1 and B1, while the resulting outputs are displayed on tabs A2 and B2.</t>
  </si>
  <si>
    <t xml:space="preserve">This is the input sheet to different variables and assumptions of model and the impact of payment frictions on the overall revenue of the current business over a 3-year period.  Data should be entered in the highlighted cells. </t>
  </si>
  <si>
    <t xml:space="preserve">Enter lease term, deposit amount, and expected monthly payments for your PAYGo offering.  If you currently offer multiple products, enter either details for the most popular offering in your portfolio, or a weighted average of your current product mix.  Next enter the expected number of average payments an individual customer would make in a given month, based on your experience to date.  For example, if most customers top-up in weekly increments, enter "4" as the average number of payments per month. </t>
  </si>
  <si>
    <t xml:space="preserve">This financial model documents the payment management costs and payment delays under the current business model over a 3-year period, and a comparison of this baseline against a hypothetical business model without payment frictions.  </t>
  </si>
  <si>
    <t xml:space="preserve">Enter the expected float buy-in required for a single new agent and the master agent's expected commitment as a %, as well as the expected % of all commissions earned by agents that would flow to the master agent. Input the expected commission for activating a single new mobile money agent, and a single mobile wallet, if applicable. </t>
  </si>
  <si>
    <t xml:space="preserve">Input the expected number and value of cash-in/cash-out (CICO) transactions to be conducted by a single agent, and the number of new mobile wallets activated in a single month.  Next enter the expected monthly rebalancing and operational costs incurred by each agent. Note: For some countries this data can be found by the supply side surveys conducted by the Agent Network Accelerator Surveys. If unavailable, this data can be obtained by speaking to mobile money agents, or mobile network operators or financial service providers providing agency services. </t>
  </si>
  <si>
    <t>At the moment the model assumes that the agent is performing only mobile money transactions. In low density, volume areas that lack transaction diversity of urban areas, this might not always be feasible. Agents might need to be businesses that are looking for supplementary revenue through the mobile money business apart from core activities.</t>
  </si>
  <si>
    <r>
      <t xml:space="preserve">Monthly customer attrition rate due to </t>
    </r>
    <r>
      <rPr>
        <b/>
        <sz val="10"/>
        <color theme="3"/>
        <rFont val="Calibri"/>
        <family val="2"/>
        <scheme val="minor"/>
      </rPr>
      <t>non-payment reasons</t>
    </r>
  </si>
  <si>
    <r>
      <t xml:space="preserve">Monthly customer attrition rate due to </t>
    </r>
    <r>
      <rPr>
        <b/>
        <sz val="10"/>
        <color theme="3"/>
        <rFont val="Calibri"/>
        <family val="2"/>
        <scheme val="minor"/>
      </rPr>
      <t>payment frictions</t>
    </r>
  </si>
  <si>
    <t>Notes</t>
  </si>
  <si>
    <t xml:space="preserve">Month-on-month increased sales velocity </t>
  </si>
  <si>
    <t xml:space="preserve">This is the estimated increase in new customer acqusition month-on-month. </t>
  </si>
  <si>
    <t>Revenue Loss - Non-Payment Friction Reasons</t>
  </si>
  <si>
    <t>Revenue</t>
  </si>
  <si>
    <t>Expected Costs Associated with Payment Collections Only</t>
  </si>
  <si>
    <t>Cost of Payment Collection Work-Arounds (if applicable)</t>
  </si>
  <si>
    <t>Payment Collection Costs</t>
  </si>
  <si>
    <t>Total Revenue, Net of Payment Delays and Payment Collection Costs</t>
  </si>
  <si>
    <t>Revenue, Current Business Model</t>
  </si>
  <si>
    <t>Revenue Collected</t>
  </si>
  <si>
    <t>Revenue, Ideal Model (w/out Pmt Frictions)</t>
  </si>
  <si>
    <t>Ideal Model without Payment Frictions</t>
  </si>
  <si>
    <t>Total Payment Collection Costs</t>
  </si>
  <si>
    <t>Total Revenue, Net of Payment Collection Costs (Ideal Model)</t>
  </si>
  <si>
    <t>Customer base</t>
  </si>
  <si>
    <t>Total active customers - 1st month</t>
  </si>
  <si>
    <t xml:space="preserve">New sales </t>
  </si>
  <si>
    <t>Total churned customers</t>
  </si>
  <si>
    <t>Total active customers - end of month</t>
  </si>
  <si>
    <t>Expected number of deposit payments</t>
  </si>
  <si>
    <r>
      <t>Expected v</t>
    </r>
    <r>
      <rPr>
        <b/>
        <sz val="10"/>
        <color theme="3"/>
        <rFont val="Calibri (Body)"/>
      </rPr>
      <t>alue of deposit</t>
    </r>
    <r>
      <rPr>
        <sz val="10"/>
        <color theme="3"/>
        <rFont val="Calibri"/>
        <family val="2"/>
        <scheme val="minor"/>
      </rPr>
      <t xml:space="preserve"> payments</t>
    </r>
  </si>
  <si>
    <t xml:space="preserve">Expected number of top-up transactions </t>
  </si>
  <si>
    <t>Expected value of top-up transactions</t>
  </si>
  <si>
    <t>Total expected revenue (deposit + value of top-up txns.)</t>
  </si>
  <si>
    <t>Total revenue loss from churn due to non-payment reasons</t>
  </si>
  <si>
    <t>Revenue, net of payment frictions and non-payment friction</t>
  </si>
  <si>
    <t>Payment friction management costs: call center</t>
  </si>
  <si>
    <t>Number of expected top-up transactions, non-friction facing</t>
  </si>
  <si>
    <t>Total payment collection costs</t>
  </si>
  <si>
    <t>Revenue, net of churn</t>
  </si>
  <si>
    <t>Payment management : call center costs</t>
  </si>
  <si>
    <t>Expected value of transactions, non-friction facing</t>
  </si>
  <si>
    <t>Mobile money bill payment, average composite cost per customer (assuming these payment collection costs are borne by the company).</t>
  </si>
  <si>
    <t>Monthly calls processed by one call center Rep</t>
  </si>
  <si>
    <t>Average monthly salary of one call center Rep</t>
  </si>
  <si>
    <t>Lease term, months</t>
  </si>
  <si>
    <r>
      <t xml:space="preserve">Decrease in </t>
    </r>
    <r>
      <rPr>
        <b/>
        <sz val="10"/>
        <color theme="3"/>
        <rFont val="Calibri"/>
        <family val="2"/>
        <scheme val="minor"/>
      </rPr>
      <t xml:space="preserve">payment delays </t>
    </r>
  </si>
  <si>
    <r>
      <t xml:space="preserve">Decrease in monthly </t>
    </r>
    <r>
      <rPr>
        <b/>
        <sz val="10"/>
        <color theme="3"/>
        <rFont val="Calibri"/>
        <family val="2"/>
        <scheme val="minor"/>
      </rPr>
      <t xml:space="preserve">payment friction churn </t>
    </r>
  </si>
  <si>
    <r>
      <t xml:space="preserve">Decrease of monthly </t>
    </r>
    <r>
      <rPr>
        <b/>
        <sz val="10"/>
        <color theme="3"/>
        <rFont val="Calibri"/>
        <family val="2"/>
        <scheme val="minor"/>
      </rPr>
      <t xml:space="preserve">call center volume </t>
    </r>
  </si>
  <si>
    <r>
      <t xml:space="preserve">Decrease in </t>
    </r>
    <r>
      <rPr>
        <b/>
        <sz val="10"/>
        <color theme="3"/>
        <rFont val="Calibri"/>
        <family val="2"/>
        <scheme val="minor"/>
      </rPr>
      <t>share of calls related to payment frictions</t>
    </r>
  </si>
  <si>
    <t>Mobile Money Transaction Volumes</t>
  </si>
  <si>
    <t xml:space="preserve">Per GSMA's State of the Industry Report 2015, the average distribution of transactions are: </t>
  </si>
  <si>
    <t>Cash-In transactions</t>
  </si>
  <si>
    <t>Cash-out transactions</t>
  </si>
  <si>
    <t>P2P transactions</t>
  </si>
  <si>
    <t>Airtime transactions</t>
  </si>
  <si>
    <t>Bill payment</t>
  </si>
  <si>
    <t>Bulk disbursement</t>
  </si>
  <si>
    <t>Total # of transactions / month / active customer</t>
  </si>
  <si>
    <t>Typical Txn. Ratio Splits</t>
  </si>
  <si>
    <t>However:</t>
  </si>
  <si>
    <t xml:space="preserve">In frontier areas diversity of transactions are going to be low, meaning utilities like electricity, water or TV bill payments might not be as prevelant as in urban centers. </t>
  </si>
  <si>
    <t xml:space="preserve">According to Helix Institute's ANA Data for Tanzania: In 2013, the median transactions for rural agents / per day was around 32. </t>
  </si>
  <si>
    <t>PAYGo top-up transactions</t>
  </si>
  <si>
    <t>Agent Economics</t>
  </si>
  <si>
    <t>Airtime</t>
  </si>
  <si>
    <t>Share of bill payment fees earned by MNO (paid by customer)</t>
  </si>
  <si>
    <t>Txn Type</t>
  </si>
  <si>
    <t>Distribution</t>
  </si>
  <si>
    <t>Airtime commission earned by agent</t>
  </si>
  <si>
    <t>Initial software &amp; operational costs to establish master agent business</t>
  </si>
  <si>
    <t>Number of full-time HQ / field staff to manage master agent network</t>
  </si>
  <si>
    <t xml:space="preserve">Annual Salary per HQ / field staff </t>
  </si>
  <si>
    <t xml:space="preserve">Depends on geography. However, the higher the population density or agent to customer ratio, the greater the probablity of higher volume of transactions, leading to faster mobile money agent viability. </t>
  </si>
  <si>
    <t>This is an assumption and MNO incentives around this might vary from market to market.</t>
  </si>
  <si>
    <t>Total cash-in commission paid by MNO</t>
  </si>
  <si>
    <t>Total cash-out commission paid by MNO</t>
  </si>
  <si>
    <t>No. of txns / day per agent</t>
  </si>
  <si>
    <t>No. of txns / month per agent</t>
  </si>
  <si>
    <t>Number of monthly airtime transactions</t>
  </si>
  <si>
    <t>Average value of airtime transactions</t>
  </si>
  <si>
    <t>Monthly monitoring &amp; liquidity management costs per agent, if applicable</t>
  </si>
  <si>
    <t>Master Agent Business Model</t>
  </si>
  <si>
    <t xml:space="preserve">Number of monthly cash-In transactions, per agent </t>
  </si>
  <si>
    <t>Total monthly churn rate under master agent model (including payment and non-payment churn)</t>
  </si>
  <si>
    <t>Share of cash-out fees earned by MNO (paid by customer)</t>
  </si>
  <si>
    <t>Master agent cash-out commission %</t>
  </si>
  <si>
    <t>Fee split to MNO on bill payment</t>
  </si>
  <si>
    <t>Share of all commissions (master)</t>
  </si>
  <si>
    <t>Commission for activating one new end-customer mobile wallet (master/ agent split)</t>
  </si>
  <si>
    <t>Commission for activating one new moible money agent (100% master)</t>
  </si>
  <si>
    <t>Airtime commission, paid by MNO to master / agent</t>
  </si>
  <si>
    <t>Number of monthly cash-out transactions, per agent</t>
  </si>
  <si>
    <t>Share of Initial Float buy-in (agent)</t>
  </si>
  <si>
    <t>Cash-Out commission to both agent and master agent, offered by MNO</t>
  </si>
  <si>
    <t>Airtime commission earned by mater agent (if applicable)</t>
  </si>
  <si>
    <t xml:space="preserve">Remaining commission to agent + master agent. </t>
  </si>
  <si>
    <t>Bill pay fee commission to master agent</t>
  </si>
  <si>
    <t>The model assumes that PAYGo providers are exploring becoming master-agents to allow for off-grid solar payments (Cash-In bill payments) by their own customers.</t>
  </si>
  <si>
    <t>Share of Initial float buy-in (master), if applicable</t>
  </si>
  <si>
    <t>Avg days of non-usage under master agent model</t>
  </si>
  <si>
    <t>Cash-in transaction fee revenue, master agent share</t>
  </si>
  <si>
    <t>Cash-out transaction fee revenue, master agent share</t>
  </si>
  <si>
    <t>Bill-Payment fee revenue,  master agent share</t>
  </si>
  <si>
    <t>Total Revenue from master agent business</t>
  </si>
  <si>
    <t>Initial software &amp; operational setup costs</t>
  </si>
  <si>
    <t>Salary for full-time HQ / field staff to manage agent network</t>
  </si>
  <si>
    <t>Total cost of collecting these payments</t>
  </si>
  <si>
    <t>This model assumes that the PAYGO provider is no longer using work-arounds but has deployed the master agent model instead. In case of a transition period / hybrid model where the PAYGo provider deploys a master agent + roving agent on commission basis model, then the additional cost of this hybrid approach needs to be factored into the 'total cost of payment collections'.</t>
  </si>
  <si>
    <t xml:space="preserve">Gains from the reduction in payment delays are realized through reduction in non-usage days. </t>
  </si>
  <si>
    <t xml:space="preserve">Master Agent Business Costs </t>
  </si>
  <si>
    <t>Total master agent business costs</t>
  </si>
  <si>
    <t xml:space="preserve">Commission from new mobile wallet activations, monthly </t>
  </si>
  <si>
    <t>Number of bill payments / PAYGo transactions, per agent (mostly over the counter)</t>
  </si>
  <si>
    <t>Avg value of bill payment / PAYGo transactions</t>
  </si>
  <si>
    <t>Airtime revenue,  master agent share</t>
  </si>
  <si>
    <t>% of expected revenue collected with current work-arounds</t>
  </si>
  <si>
    <t xml:space="preserve">Total Revenue, Net of Payment Collection Costs and Master Agent Business </t>
  </si>
  <si>
    <t>Share of all cash-In commissions (agent)</t>
  </si>
  <si>
    <t>Cash-in revenue</t>
  </si>
  <si>
    <t>Cash-out revenue</t>
  </si>
  <si>
    <t>Average value per cash-in txn</t>
  </si>
  <si>
    <t>Commission per cash-in txn (%)</t>
  </si>
  <si>
    <t>Commission per cash-in txn ($)</t>
  </si>
  <si>
    <t>Avg number cash-in txns monthly</t>
  </si>
  <si>
    <t>Monthly cash-in revenue</t>
  </si>
  <si>
    <t>Average cash-in revenue per transaction</t>
  </si>
  <si>
    <t>Monthly cash-out revenue</t>
  </si>
  <si>
    <t>Bill-payment revenue</t>
  </si>
  <si>
    <t>Monthly bill pay revenue</t>
  </si>
  <si>
    <t>Average bill pay revenue per transaction</t>
  </si>
  <si>
    <t>Airtime revenue</t>
  </si>
  <si>
    <t>Average airtime value</t>
  </si>
  <si>
    <t>Airtime commission</t>
  </si>
  <si>
    <t>Commission per airtime transaction</t>
  </si>
  <si>
    <t>Avg number of airtime transactions monthly</t>
  </si>
  <si>
    <t>Monthly airtime revenue</t>
  </si>
  <si>
    <t>Average airtime  revenue per transaction</t>
  </si>
  <si>
    <t>Monthly Operating Costs</t>
  </si>
  <si>
    <t>One-time recyclable float investment</t>
  </si>
  <si>
    <t>Total Monthly Operating Costs</t>
  </si>
  <si>
    <t>Total Monthly Revenue / Agent</t>
  </si>
  <si>
    <t>Profit</t>
  </si>
  <si>
    <t>Operating Profit</t>
  </si>
  <si>
    <t>Total Txns</t>
  </si>
  <si>
    <t>Fixed Cost</t>
  </si>
  <si>
    <t>Variable Cost</t>
  </si>
  <si>
    <t>Expenses</t>
  </si>
  <si>
    <t>Monthly Operational costs</t>
  </si>
  <si>
    <t>Variable costs per transaction</t>
  </si>
  <si>
    <t>Monthly Transaction Volume / Agent</t>
  </si>
  <si>
    <t>No. of transactions per month</t>
  </si>
  <si>
    <t>Average commission per transaction</t>
  </si>
  <si>
    <t>Unit increments for x-axis</t>
  </si>
  <si>
    <t>Base number of transactions / per agent / per month</t>
  </si>
  <si>
    <t>No. of transactions / per day / per agent</t>
  </si>
  <si>
    <t>Break even (transactions)</t>
  </si>
  <si>
    <t>Break Even (revenue)</t>
  </si>
  <si>
    <t>Break Even (months of operation)</t>
  </si>
  <si>
    <t>Agent Profitability Metrics</t>
  </si>
  <si>
    <t>Lift, over current business model</t>
  </si>
  <si>
    <t>Incremental net revenue from master agent business compared to current business model</t>
  </si>
  <si>
    <t xml:space="preserve">In cell E14 enter an estimate for the revenue lost from a single churned customer.  This can be estimated as the net present value of foregone future lease revenue from an account based on the average month within the lease period churn happens.  </t>
  </si>
  <si>
    <t>A.3 BASE GRAPHS</t>
  </si>
  <si>
    <t>Chart 2 demonstrates annual payment collection costs.</t>
  </si>
  <si>
    <t>Chart 1 shows the annual customer churn due to payment frictions.</t>
  </si>
  <si>
    <t xml:space="preserve">Chart 3a. showcases the impact of payment friction on annual revenue by  comparing the current business model against a hypothetical scenario without payment management costs and churn due to payment frictions. </t>
  </si>
  <si>
    <t>Chart 3b. captures annual revenue lost due to payment frictions.</t>
  </si>
  <si>
    <t>B4.  AGENT BREAK EVEN</t>
  </si>
  <si>
    <t>B3.  MASTER AGENT MODEL</t>
  </si>
  <si>
    <t>Depending on your business, it may be necessary to adjust the unit increments for the x-axis in cell C57</t>
  </si>
  <si>
    <t>Revenue loss from non-usage days due to payment frictions</t>
  </si>
  <si>
    <t>Annual Payment Collection Costs</t>
  </si>
  <si>
    <t>Cost-savings</t>
  </si>
  <si>
    <t>Txn. Split</t>
  </si>
  <si>
    <t xml:space="preserve">4B. </t>
  </si>
  <si>
    <t>Rebalancing Cost</t>
  </si>
  <si>
    <t>No. of txns / month</t>
  </si>
  <si>
    <t>Avg. rebalancing cost / txn.</t>
  </si>
  <si>
    <t>Amended Transaction Ratio Assumptions for the Model (Simplification)</t>
  </si>
  <si>
    <r>
      <t xml:space="preserve">For the purposes of this model, where PAYGo providers are master-agents, the following transaction ratios have been assumed. </t>
    </r>
    <r>
      <rPr>
        <b/>
        <sz val="10"/>
        <color theme="3"/>
        <rFont val="Calibri"/>
        <family val="2"/>
      </rPr>
      <t>Providers can insert / modify ratios based on market realities.</t>
    </r>
  </si>
  <si>
    <t xml:space="preserve">In cell E13, enter the % of your customer base that churns in a given month for reasons other than payment frictions.  In cell E12, enter the % of the customer base that churns because of payment frictions.   </t>
  </si>
  <si>
    <t>Liquidity Management Costs</t>
  </si>
  <si>
    <t>Tanzania</t>
  </si>
  <si>
    <t>http://www.microsave.net/files/pdf/Liquidity_Management_Puzzle.pdf</t>
  </si>
  <si>
    <t>Zambia</t>
  </si>
  <si>
    <t xml:space="preserve">Average master-agent rebalancing cost, as % of agent monthly revenues. </t>
  </si>
  <si>
    <t>Liquidity Management: Hybrid Model where majority of rebalancing costs are borne by master-agent.</t>
  </si>
  <si>
    <t>Important Note</t>
  </si>
  <si>
    <t>IMP</t>
  </si>
  <si>
    <t xml:space="preserve">Float investment by agent </t>
  </si>
  <si>
    <t>Income from float sales to agents (if applicable)</t>
  </si>
  <si>
    <t xml:space="preserve">Helix Institute's Agent Network Accelerator (ANA) data 2013, found that the cost of running a rural mobile money business was around $20. For simplification purposes, we could assume that 50% are rebalancing costs. </t>
  </si>
  <si>
    <t>If the cost of rebalancing is being borne by agent, then cell B17= avg. cost of rebalancing per transaction*monthly transactions</t>
  </si>
  <si>
    <t>Absolute value, cost of float per agent</t>
  </si>
  <si>
    <r>
      <t xml:space="preserve">Helix Institute's Agent Network Accelerator (ANA) data 2013, found that the cost of running a rural mobile money business was around $20. For simplification purposes, this model assumes that 50% of the $20 are operational costs. Interestingly, MicroSave has recently published a paper on LIquidity Management: </t>
    </r>
    <r>
      <rPr>
        <b/>
        <sz val="10"/>
        <color theme="3"/>
        <rFont val="Calibri"/>
        <family val="2"/>
        <scheme val="minor"/>
      </rPr>
      <t>http://www.microsave.net/files/pdf/Liquidity_Management_Puzzle.pdf</t>
    </r>
    <r>
      <rPr>
        <sz val="10"/>
        <color theme="3"/>
        <rFont val="Calibri"/>
        <family val="2"/>
        <scheme val="minor"/>
      </rPr>
      <t xml:space="preserve"> that lists liquidity rebalancing as a percentage of agent revenues across various geograhies. In Tanzania, on average 2% of an agents monthly revenues go towards liquidity rebalancing, while its significantly higher for Asian countries. That said, aggregate costs can be non-representative for rural areas since urban volumes can be extremely high, driving down liqudity costs. </t>
    </r>
  </si>
  <si>
    <r>
      <rPr>
        <b/>
        <sz val="10"/>
        <color theme="3"/>
        <rFont val="Calibri"/>
        <family val="2"/>
        <scheme val="minor"/>
      </rPr>
      <t>Option II:</t>
    </r>
    <r>
      <rPr>
        <sz val="10"/>
        <color theme="3"/>
        <rFont val="Calibri"/>
        <family val="2"/>
        <scheme val="minor"/>
      </rPr>
      <t xml:space="preserve"> Agent bears rebalancing costs</t>
    </r>
  </si>
  <si>
    <t xml:space="preserve">Agent rebalancing costs have been calculated as a function of transaction volumes. The model assumes that the agent rebalances once every 300 transactions at the rate of $10 or a rebalancing cost of $0.03 per transaction. However, this ratio can be changed based on the realities that the PAYGo provider witnesses on ground. </t>
  </si>
  <si>
    <t>Country with low population density, proxy for rural setting.</t>
  </si>
  <si>
    <t>4B.</t>
  </si>
  <si>
    <r>
      <t>Monthly rebalancing cost</t>
    </r>
    <r>
      <rPr>
        <i/>
        <sz val="10"/>
        <color theme="3"/>
        <rFont val="Calibri"/>
        <family val="2"/>
        <scheme val="minor"/>
      </rPr>
      <t>s. If this cost is being borne by agent, refer to footnote 4</t>
    </r>
  </si>
  <si>
    <t>Studies and Reports on master-agent models</t>
  </si>
  <si>
    <t>http://blog.microsave.net/demystifying-the-role-of-master-agents/</t>
  </si>
  <si>
    <t>MTN, Liquidity Management Tool for agents</t>
  </si>
  <si>
    <t>http://beta.mtn.co.ug/Downloads/Liquidity%20Management.pdf</t>
  </si>
  <si>
    <t>IFC, Liquidity Management for Mobile Money Providers</t>
  </si>
  <si>
    <t>MicroSave, Demystifying the Role of Master Agents</t>
  </si>
  <si>
    <t>MicroSave, Fitting the Pieces of the Liquidity Management Puzzle</t>
  </si>
  <si>
    <t>https://www.ifc.org/wps/wcm/connect/be4c9b804a1b7ad991ccfddd29332b51/Tool+10.5.+Liquidity+Management.pdf?MOD=AJPERES</t>
  </si>
  <si>
    <t>a</t>
  </si>
  <si>
    <t>b</t>
  </si>
  <si>
    <t>c</t>
  </si>
  <si>
    <t>d</t>
  </si>
  <si>
    <t>% cost of float (e.g. 0.25% cost of float purchased from master agent)</t>
  </si>
  <si>
    <t>Cash-In commission to both agent and master agent, offered by MNO</t>
  </si>
  <si>
    <t xml:space="preserve">There are various types of master agent models. Studies and reports on master agent models and agent economics and listed at the bottom. This model assumes that as a master agent, the PAYGo company provides the following services - (a) agent onboarding that includes agent acquisition and training, (b) liquidity rebalancing. In return for these services, commissions are split between master agent and the agent per the economics listed above. In some models, master agents purchase the float and resell it to agents at a small commission. This model assumes that the PAYGo provider does not charge the agent for float, instead splits the float cost with the agent. The model also assumes that the mater agent is entirely responsible for rebalancing i.e. the mater agent has a system to rebalance agents at rebalancing points.  These assumptions bring down the time to break-even for rural agent. However, based on the realities of their markets, providers can shift these inputs. For e.g. master agents can sell float at a small fee e.g. 0.25%, and share rebalancing costs with agents. For each of these scenarios, however, PAYGo companies need to evaluate the impact of these decisions on agent viability - a critical factor to success. </t>
  </si>
  <si>
    <t xml:space="preserve">As mentioned in row 47, PAYGo providers might choose to purchase the full float amount per agent, or split the purchase. PAYGo providers might also choose to charge the agent for float. The higher the master agent investment, the greater the master-agent &lt; &gt; agent revenue split. The standard split for a master agent that resells float, provides liquidity rebalancing and trains agents is around 20% for the master-agent and 80% for the agent (factored in this model).  </t>
  </si>
  <si>
    <r>
      <rPr>
        <b/>
        <sz val="10"/>
        <color theme="3"/>
        <rFont val="Calibri"/>
        <family val="2"/>
        <scheme val="minor"/>
      </rPr>
      <t>Option I:</t>
    </r>
    <r>
      <rPr>
        <sz val="10"/>
        <color theme="3"/>
        <rFont val="Calibri"/>
        <family val="2"/>
        <scheme val="minor"/>
      </rPr>
      <t xml:space="preserve"> Mater agent bears rebalancing costs, taken as a % of agents revenues (managed by master agent)</t>
    </r>
  </si>
  <si>
    <t>Master agent, Net Revenue</t>
  </si>
  <si>
    <t>Expected Costs (Payment Collections + Master agent business)</t>
  </si>
  <si>
    <t>Revenue from master agent 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</si>
</sst>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0.0"/>
    <numFmt numFmtId="168" formatCode="&quot;$&quot;#,##0"/>
    <numFmt numFmtId="169" formatCode="&quot;$&quot;#,##0.00"/>
    <numFmt numFmtId="170" formatCode="0.0_);\(0.0\)"/>
    <numFmt numFmtId="171" formatCode="&quot;$&quot;#,##0.000"/>
    <numFmt numFmtId="172" formatCode="_(&quot;$&quot;* #,##0.0_);_(&quot;$&quot;* \(#,##0.0\);_(&quot;$&quot;* &quot;-&quot;??_);_(@_)"/>
    <numFmt numFmtId="173" formatCode="&quot;$&quot;#,##0.000_);[Red]\(&quot;$&quot;#,##0.000\)"/>
    <numFmt numFmtId="174" formatCode="&quot;$&quot;#,##0.0_);[Red]\(&quot;$&quot;#,##0.0\)"/>
  </numFmts>
  <fonts count="85">
    <font>
      <sz val="12"/>
      <color theme="1"/>
      <name val="Calibri"/>
      <family val="2"/>
      <scheme val="minor"/>
    </font>
    <font>
      <sz val="12"/>
      <color theme="1"/>
      <name val="Calibri"/>
      <family val="2"/>
      <scheme val="minor"/>
    </font>
    <font>
      <sz val="12"/>
      <color theme="1"/>
      <name val="Calibri"/>
      <family val="2"/>
      <scheme val="minor"/>
    </font>
    <font>
      <sz val="10"/>
      <color theme="1"/>
      <name val="Calibri Light"/>
      <family val="2"/>
      <scheme val="major"/>
    </font>
    <font>
      <sz val="10"/>
      <color theme="1"/>
      <name val="Calibri"/>
      <family val="2"/>
      <scheme val="minor"/>
    </font>
    <font>
      <b/>
      <sz val="10"/>
      <color theme="1"/>
      <name val="Calibri"/>
      <family val="2"/>
      <scheme val="minor"/>
    </font>
    <font>
      <i/>
      <sz val="10"/>
      <color theme="1"/>
      <name val="Calibri"/>
      <family val="2"/>
      <scheme val="minor"/>
    </font>
    <font>
      <sz val="10"/>
      <name val="Calibri"/>
      <family val="2"/>
      <scheme val="minor"/>
    </font>
    <font>
      <b/>
      <sz val="10"/>
      <color rgb="FF993366"/>
      <name val="Calibri"/>
      <family val="2"/>
      <scheme val="minor"/>
    </font>
    <font>
      <b/>
      <sz val="10"/>
      <name val="Calibri"/>
      <family val="2"/>
      <scheme val="minor"/>
    </font>
    <font>
      <sz val="10"/>
      <name val="Arial"/>
      <family val="2"/>
    </font>
    <font>
      <b/>
      <sz val="14"/>
      <color theme="1"/>
      <name val="Calibri"/>
      <family val="2"/>
      <scheme val="minor"/>
    </font>
    <font>
      <b/>
      <sz val="10"/>
      <color rgb="FFCC0000"/>
      <name val="Calibri"/>
      <family val="2"/>
      <scheme val="minor"/>
    </font>
    <font>
      <b/>
      <sz val="12"/>
      <color theme="1"/>
      <name val="Calibri"/>
      <family val="2"/>
      <scheme val="minor"/>
    </font>
    <font>
      <sz val="11"/>
      <color theme="1" tint="0.499984740745262"/>
      <name val="Calibri"/>
      <family val="2"/>
      <scheme val="minor"/>
    </font>
    <font>
      <b/>
      <sz val="14"/>
      <color theme="1" tint="0.499984740745262"/>
      <name val="Calibri"/>
      <family val="2"/>
      <scheme val="minor"/>
    </font>
    <font>
      <sz val="13"/>
      <color theme="1" tint="0.499984740745262"/>
      <name val="Calibri"/>
      <family val="2"/>
      <scheme val="minor"/>
    </font>
    <font>
      <u/>
      <sz val="10"/>
      <color indexed="12"/>
      <name val="Arial"/>
      <family val="2"/>
    </font>
    <font>
      <b/>
      <u/>
      <sz val="14"/>
      <color theme="1" tint="0.499984740745262"/>
      <name val="Calibri"/>
      <family val="2"/>
      <scheme val="minor"/>
    </font>
    <font>
      <b/>
      <sz val="12"/>
      <color theme="1" tint="0.499984740745262"/>
      <name val="Calibri"/>
      <family val="2"/>
      <scheme val="minor"/>
    </font>
    <font>
      <sz val="12"/>
      <color theme="1" tint="0.499984740745262"/>
      <name val="Calibri"/>
      <family val="2"/>
      <scheme val="minor"/>
    </font>
    <font>
      <u/>
      <sz val="12"/>
      <color theme="10"/>
      <name val="Calibri"/>
      <family val="2"/>
      <scheme val="minor"/>
    </font>
    <font>
      <u/>
      <sz val="12"/>
      <color theme="11"/>
      <name val="Calibri"/>
      <family val="2"/>
      <scheme val="minor"/>
    </font>
    <font>
      <sz val="13"/>
      <color theme="0" tint="-0.499984740745262"/>
      <name val="Calibri"/>
      <family val="2"/>
      <scheme val="minor"/>
    </font>
    <font>
      <sz val="11"/>
      <color theme="1"/>
      <name val="Calibri"/>
      <family val="2"/>
      <scheme val="minor"/>
    </font>
    <font>
      <sz val="13"/>
      <color theme="1"/>
      <name val="Calibri"/>
      <family val="2"/>
      <scheme val="minor"/>
    </font>
    <font>
      <i/>
      <sz val="13"/>
      <color theme="1"/>
      <name val="Calibri"/>
      <family val="2"/>
      <scheme val="minor"/>
    </font>
    <font>
      <i/>
      <u/>
      <sz val="13"/>
      <color theme="1"/>
      <name val="Calibri"/>
      <family val="2"/>
      <scheme val="minor"/>
    </font>
    <font>
      <i/>
      <sz val="12"/>
      <color theme="1"/>
      <name val="Calibri"/>
      <family val="2"/>
      <scheme val="minor"/>
    </font>
    <font>
      <b/>
      <sz val="10"/>
      <color theme="4" tint="-0.499984740745262"/>
      <name val="Calibri"/>
      <family val="2"/>
      <scheme val="minor"/>
    </font>
    <font>
      <i/>
      <sz val="10"/>
      <color theme="3" tint="-0.249977111117893"/>
      <name val="Calibri"/>
      <family val="2"/>
      <scheme val="minor"/>
    </font>
    <font>
      <sz val="10"/>
      <color rgb="FF993366"/>
      <name val="Calibri"/>
      <family val="2"/>
      <scheme val="minor"/>
    </font>
    <font>
      <b/>
      <sz val="13"/>
      <color theme="3"/>
      <name val="Calibri"/>
      <family val="2"/>
      <scheme val="minor"/>
    </font>
    <font>
      <i/>
      <sz val="10"/>
      <color rgb="FFC00000"/>
      <name val="Calibri"/>
      <family val="2"/>
      <scheme val="minor"/>
    </font>
    <font>
      <b/>
      <i/>
      <sz val="10"/>
      <color rgb="FFC00000"/>
      <name val="Calibri"/>
      <family val="2"/>
      <scheme val="minor"/>
    </font>
    <font>
      <b/>
      <sz val="10"/>
      <color theme="0"/>
      <name val="Calibri"/>
      <family val="2"/>
      <scheme val="minor"/>
    </font>
    <font>
      <b/>
      <sz val="10"/>
      <color theme="5"/>
      <name val="Calibri"/>
      <family val="2"/>
      <scheme val="minor"/>
    </font>
    <font>
      <b/>
      <sz val="10"/>
      <color theme="3"/>
      <name val="Calibri"/>
      <family val="2"/>
      <scheme val="minor"/>
    </font>
    <font>
      <sz val="10"/>
      <color theme="5"/>
      <name val="Calibri"/>
      <family val="2"/>
      <scheme val="minor"/>
    </font>
    <font>
      <sz val="10"/>
      <color theme="3"/>
      <name val="Calibri"/>
      <family val="2"/>
      <scheme val="minor"/>
    </font>
    <font>
      <i/>
      <sz val="10"/>
      <color theme="3"/>
      <name val="Calibri"/>
      <family val="2"/>
      <scheme val="minor"/>
    </font>
    <font>
      <sz val="10"/>
      <color theme="1"/>
      <name val="Calibri "/>
    </font>
    <font>
      <b/>
      <sz val="10"/>
      <color theme="1"/>
      <name val="Calibri "/>
    </font>
    <font>
      <sz val="10"/>
      <color theme="1" tint="0.499984740745262"/>
      <name val="Calibri "/>
    </font>
    <font>
      <b/>
      <sz val="10"/>
      <color theme="0" tint="-0.499984740745262"/>
      <name val="Calibri "/>
    </font>
    <font>
      <sz val="11"/>
      <color theme="3"/>
      <name val="Calibri"/>
      <family val="2"/>
      <scheme val="minor"/>
    </font>
    <font>
      <b/>
      <sz val="14"/>
      <color theme="3"/>
      <name val="Calibri"/>
      <family val="2"/>
      <scheme val="minor"/>
    </font>
    <font>
      <sz val="12"/>
      <color theme="3"/>
      <name val="Calibri"/>
      <family val="2"/>
      <scheme val="minor"/>
    </font>
    <font>
      <sz val="13"/>
      <color theme="3"/>
      <name val="Calibri"/>
      <family val="2"/>
      <scheme val="minor"/>
    </font>
    <font>
      <b/>
      <sz val="18"/>
      <color theme="5"/>
      <name val="Calibri"/>
      <family val="2"/>
      <scheme val="minor"/>
    </font>
    <font>
      <sz val="12"/>
      <color theme="4"/>
      <name val="Calibri"/>
      <family val="2"/>
      <scheme val="minor"/>
    </font>
    <font>
      <sz val="12"/>
      <color theme="4"/>
      <name val="Calibri "/>
    </font>
    <font>
      <b/>
      <sz val="12"/>
      <color theme="5"/>
      <name val="Calibri "/>
    </font>
    <font>
      <b/>
      <u/>
      <sz val="12"/>
      <color theme="5"/>
      <name val="Calibri "/>
    </font>
    <font>
      <sz val="12"/>
      <color theme="5"/>
      <name val="Calibri"/>
      <family val="2"/>
      <scheme val="minor"/>
    </font>
    <font>
      <b/>
      <sz val="12"/>
      <color theme="3"/>
      <name val="Calibri "/>
    </font>
    <font>
      <sz val="12"/>
      <color theme="1"/>
      <name val="Calibri "/>
    </font>
    <font>
      <sz val="10"/>
      <color theme="3"/>
      <name val="Calibri Light"/>
      <family val="2"/>
      <scheme val="major"/>
    </font>
    <font>
      <b/>
      <sz val="11"/>
      <color theme="5"/>
      <name val="Calibri"/>
      <family val="2"/>
      <scheme val="minor"/>
    </font>
    <font>
      <b/>
      <u/>
      <sz val="12"/>
      <color theme="3"/>
      <name val="Calibri "/>
    </font>
    <font>
      <b/>
      <u/>
      <sz val="10"/>
      <color theme="3"/>
      <name val="Calibri"/>
      <family val="2"/>
    </font>
    <font>
      <b/>
      <u/>
      <sz val="9"/>
      <color theme="3"/>
      <name val="Calibri"/>
      <family val="2"/>
    </font>
    <font>
      <b/>
      <u/>
      <sz val="9"/>
      <color theme="3"/>
      <name val="Arial"/>
      <family val="2"/>
    </font>
    <font>
      <u/>
      <sz val="10"/>
      <color theme="3"/>
      <name val="Calibri"/>
      <family val="2"/>
    </font>
    <font>
      <b/>
      <u/>
      <sz val="12"/>
      <color theme="3"/>
      <name val="Calibri"/>
      <family val="2"/>
    </font>
    <font>
      <b/>
      <sz val="10"/>
      <color theme="3"/>
      <name val="Calibri (Body)"/>
    </font>
    <font>
      <b/>
      <sz val="13"/>
      <color theme="5"/>
      <name val="Calibri"/>
      <family val="2"/>
      <scheme val="minor"/>
    </font>
    <font>
      <sz val="10"/>
      <color theme="3"/>
      <name val="Calibri"/>
      <family val="2"/>
    </font>
    <font>
      <sz val="13"/>
      <color theme="5"/>
      <name val="Calibri"/>
      <family val="2"/>
      <scheme val="minor"/>
    </font>
    <font>
      <b/>
      <sz val="9"/>
      <color theme="3"/>
      <name val="Calibri"/>
      <family val="2"/>
    </font>
    <font>
      <i/>
      <sz val="10"/>
      <color theme="4" tint="0.249977111117893"/>
      <name val="Calibri"/>
      <family val="2"/>
      <scheme val="minor"/>
    </font>
    <font>
      <sz val="10"/>
      <color theme="4" tint="0.249977111117893"/>
      <name val="Calibri"/>
      <family val="2"/>
      <scheme val="minor"/>
    </font>
    <font>
      <b/>
      <u/>
      <sz val="10"/>
      <color theme="3"/>
      <name val="Calibri"/>
      <family val="2"/>
      <scheme val="minor"/>
    </font>
    <font>
      <b/>
      <sz val="12"/>
      <color theme="0" tint="-4.9989318521683403E-2"/>
      <name val="Calibri"/>
      <family val="2"/>
      <scheme val="minor"/>
    </font>
    <font>
      <b/>
      <sz val="11"/>
      <color theme="0" tint="-4.9989318521683403E-2"/>
      <name val="Calibri"/>
      <family val="2"/>
      <scheme val="minor"/>
    </font>
    <font>
      <b/>
      <sz val="11"/>
      <color theme="3"/>
      <name val="Calibri"/>
      <family val="2"/>
      <scheme val="minor"/>
    </font>
    <font>
      <i/>
      <sz val="11"/>
      <color theme="1"/>
      <name val="Calibri"/>
      <family val="2"/>
      <scheme val="minor"/>
    </font>
    <font>
      <b/>
      <sz val="11"/>
      <color theme="1"/>
      <name val="Calibri"/>
      <family val="2"/>
      <scheme val="minor"/>
    </font>
    <font>
      <sz val="11"/>
      <color rgb="FF004459"/>
      <name val="Calibri"/>
      <family val="2"/>
      <scheme val="minor"/>
    </font>
    <font>
      <sz val="12"/>
      <color theme="3"/>
      <name val="Calibri "/>
    </font>
    <font>
      <b/>
      <u/>
      <sz val="12"/>
      <color theme="5"/>
      <name val="Calibri"/>
      <family val="2"/>
    </font>
    <font>
      <b/>
      <sz val="10"/>
      <color theme="3"/>
      <name val="Calibri"/>
      <family val="2"/>
    </font>
    <font>
      <b/>
      <u/>
      <sz val="10"/>
      <color theme="5" tint="-0.249977111117893"/>
      <name val="Calibri"/>
      <family val="2"/>
    </font>
    <font>
      <b/>
      <u/>
      <sz val="9"/>
      <color theme="4"/>
      <name val="Calibri"/>
      <family val="2"/>
    </font>
    <font>
      <b/>
      <sz val="10"/>
      <color theme="4"/>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3"/>
        <bgColor indexed="64"/>
      </patternFill>
    </fill>
    <fill>
      <patternFill patternType="solid">
        <fgColor theme="6" tint="0.79998168889431442"/>
        <bgColor indexed="64"/>
      </patternFill>
    </fill>
    <fill>
      <patternFill patternType="solid">
        <fgColor theme="3" tint="0.89999084444715716"/>
        <bgColor indexed="64"/>
      </patternFill>
    </fill>
    <fill>
      <patternFill patternType="solid">
        <fgColor theme="6" tint="0.39997558519241921"/>
        <bgColor indexed="64"/>
      </patternFill>
    </fill>
    <fill>
      <patternFill patternType="solid">
        <fgColor rgb="FF87D08E"/>
        <bgColor indexed="64"/>
      </patternFill>
    </fill>
    <fill>
      <patternFill patternType="solid">
        <fgColor theme="4"/>
        <bgColor indexed="64"/>
      </patternFill>
    </fill>
  </fills>
  <borders count="43">
    <border>
      <left/>
      <right/>
      <top/>
      <bottom/>
      <diagonal/>
    </border>
    <border>
      <left/>
      <right/>
      <top style="thin">
        <color auto="1"/>
      </top>
      <bottom/>
      <diagonal/>
    </border>
    <border>
      <left style="medium">
        <color theme="0"/>
      </left>
      <right style="medium">
        <color theme="0"/>
      </right>
      <top style="medium">
        <color theme="0"/>
      </top>
      <bottom/>
      <diagonal/>
    </border>
    <border>
      <left style="medium">
        <color theme="0"/>
      </left>
      <right style="medium">
        <color theme="0"/>
      </right>
      <top/>
      <bottom/>
      <diagonal/>
    </border>
    <border>
      <left/>
      <right style="medium">
        <color theme="0"/>
      </right>
      <top/>
      <bottom/>
      <diagonal/>
    </border>
    <border>
      <left style="mediumDashed">
        <color theme="3"/>
      </left>
      <right style="mediumDashed">
        <color theme="3"/>
      </right>
      <top style="mediumDashed">
        <color theme="3"/>
      </top>
      <bottom style="mediumDashed">
        <color theme="3"/>
      </bottom>
      <diagonal/>
    </border>
    <border>
      <left style="mediumDashed">
        <color theme="3"/>
      </left>
      <right style="mediumDashed">
        <color theme="3"/>
      </right>
      <top style="mediumDashed">
        <color theme="3"/>
      </top>
      <bottom/>
      <diagonal/>
    </border>
    <border>
      <left style="mediumDashed">
        <color theme="3"/>
      </left>
      <right style="mediumDashed">
        <color theme="3"/>
      </right>
      <top/>
      <bottom/>
      <diagonal/>
    </border>
    <border>
      <left style="mediumDashed">
        <color theme="3"/>
      </left>
      <right style="mediumDashed">
        <color theme="3"/>
      </right>
      <top/>
      <bottom style="mediumDashed">
        <color theme="3"/>
      </bottom>
      <diagonal/>
    </border>
    <border>
      <left/>
      <right/>
      <top/>
      <bottom style="thick">
        <color theme="3"/>
      </bottom>
      <diagonal/>
    </border>
    <border>
      <left/>
      <right/>
      <top style="thick">
        <color theme="3"/>
      </top>
      <bottom/>
      <diagonal/>
    </border>
    <border>
      <left/>
      <right style="hair">
        <color auto="1"/>
      </right>
      <top/>
      <bottom/>
      <diagonal/>
    </border>
    <border>
      <left style="thin">
        <color indexed="64"/>
      </left>
      <right style="thin">
        <color indexed="64"/>
      </right>
      <top style="thin">
        <color indexed="64"/>
      </top>
      <bottom style="thin">
        <color indexed="64"/>
      </bottom>
      <diagonal/>
    </border>
    <border>
      <left/>
      <right/>
      <top/>
      <bottom style="slantDashDot">
        <color theme="3"/>
      </bottom>
      <diagonal/>
    </border>
    <border>
      <left/>
      <right style="hair">
        <color auto="1"/>
      </right>
      <top/>
      <bottom style="slantDashDot">
        <color theme="3"/>
      </bottom>
      <diagonal/>
    </border>
    <border>
      <left/>
      <right style="thin">
        <color theme="3"/>
      </right>
      <top/>
      <bottom/>
      <diagonal/>
    </border>
    <border>
      <left/>
      <right/>
      <top/>
      <bottom style="medium">
        <color theme="3"/>
      </bottom>
      <diagonal/>
    </border>
    <border>
      <left/>
      <right style="thin">
        <color theme="3"/>
      </right>
      <top/>
      <bottom style="medium">
        <color theme="3"/>
      </bottom>
      <diagonal/>
    </border>
    <border>
      <left/>
      <right/>
      <top style="mediumDashed">
        <color theme="3"/>
      </top>
      <bottom/>
      <diagonal/>
    </border>
    <border>
      <left/>
      <right/>
      <top/>
      <bottom style="medium">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Dashed">
        <color auto="1"/>
      </left>
      <right style="mediumDashed">
        <color auto="1"/>
      </right>
      <top style="mediumDashed">
        <color auto="1"/>
      </top>
      <bottom/>
      <diagonal/>
    </border>
    <border>
      <left style="mediumDashed">
        <color auto="1"/>
      </left>
      <right style="mediumDashed">
        <color auto="1"/>
      </right>
      <top/>
      <bottom/>
      <diagonal/>
    </border>
    <border>
      <left style="mediumDashed">
        <color auto="1"/>
      </left>
      <right style="mediumDashed">
        <color auto="1"/>
      </right>
      <top/>
      <bottom style="mediumDash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3"/>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style="medium">
        <color theme="3"/>
      </right>
      <top/>
      <bottom style="medium">
        <color theme="3"/>
      </bottom>
      <diagonal/>
    </border>
    <border>
      <left/>
      <right/>
      <top/>
      <bottom style="thick">
        <color auto="1"/>
      </bottom>
      <diagonal/>
    </border>
    <border>
      <left/>
      <right/>
      <top style="thick">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8">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0" fillId="0" borderId="0"/>
    <xf numFmtId="0" fontId="17"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applyNumberFormat="0" applyFill="0" applyBorder="0" applyAlignment="0" applyProtection="0"/>
  </cellStyleXfs>
  <cellXfs count="636">
    <xf numFmtId="0" fontId="0" fillId="0" borderId="0" xfId="0"/>
    <xf numFmtId="0" fontId="4" fillId="0" borderId="0" xfId="0" applyFont="1"/>
    <xf numFmtId="0" fontId="4" fillId="0" borderId="0" xfId="0" applyFont="1" applyAlignment="1"/>
    <xf numFmtId="0" fontId="3" fillId="0" borderId="0" xfId="0" applyFont="1" applyFill="1" applyAlignment="1">
      <alignment horizontal="center" vertical="center"/>
    </xf>
    <xf numFmtId="0" fontId="5" fillId="0" borderId="0" xfId="0" applyFont="1" applyFill="1" applyBorder="1" applyAlignment="1">
      <alignment horizontal="left" indent="1"/>
    </xf>
    <xf numFmtId="0" fontId="4" fillId="0" borderId="0" xfId="0" applyFont="1" applyFill="1" applyBorder="1"/>
    <xf numFmtId="0" fontId="4" fillId="0" borderId="0" xfId="0" applyFont="1" applyAlignment="1">
      <alignment horizontal="left"/>
    </xf>
    <xf numFmtId="0" fontId="4" fillId="0" borderId="0" xfId="0" applyFont="1" applyFill="1"/>
    <xf numFmtId="0" fontId="5" fillId="0" borderId="0" xfId="0" applyFont="1" applyFill="1" applyBorder="1" applyAlignment="1">
      <alignment horizontal="center"/>
    </xf>
    <xf numFmtId="0" fontId="5" fillId="0" borderId="0" xfId="0" applyFont="1" applyFill="1" applyBorder="1" applyAlignment="1">
      <alignment horizontal="center" wrapText="1"/>
    </xf>
    <xf numFmtId="0" fontId="5" fillId="0" borderId="0" xfId="0" applyFont="1" applyFill="1" applyBorder="1"/>
    <xf numFmtId="0" fontId="4" fillId="0" borderId="0" xfId="0" applyFont="1" applyFill="1" applyBorder="1" applyAlignment="1">
      <alignment horizontal="center"/>
    </xf>
    <xf numFmtId="43" fontId="4" fillId="0" borderId="0" xfId="1" applyFont="1" applyAlignment="1">
      <alignment wrapText="1"/>
    </xf>
    <xf numFmtId="0" fontId="4" fillId="0" borderId="0" xfId="0" applyFont="1" applyBorder="1"/>
    <xf numFmtId="0" fontId="4" fillId="2" borderId="0" xfId="0" applyFont="1" applyFill="1" applyBorder="1"/>
    <xf numFmtId="0" fontId="4" fillId="0" borderId="0" xfId="0" applyFont="1" applyFill="1" applyBorder="1" applyAlignment="1">
      <alignment horizontal="right"/>
    </xf>
    <xf numFmtId="3" fontId="4" fillId="0" borderId="0" xfId="0" applyNumberFormat="1" applyFont="1" applyFill="1" applyBorder="1" applyAlignment="1">
      <alignment horizontal="right"/>
    </xf>
    <xf numFmtId="164" fontId="4" fillId="0" borderId="0" xfId="1" applyNumberFormat="1" applyFont="1" applyFill="1" applyBorder="1" applyAlignment="1">
      <alignment horizontal="right"/>
    </xf>
    <xf numFmtId="0" fontId="5" fillId="0" borderId="0" xfId="0" applyFont="1" applyFill="1" applyBorder="1" applyAlignment="1">
      <alignment horizontal="left"/>
    </xf>
    <xf numFmtId="0" fontId="4" fillId="0" borderId="0" xfId="0" applyFont="1" applyFill="1" applyBorder="1" applyAlignment="1">
      <alignment horizontal="left" vertical="center"/>
    </xf>
    <xf numFmtId="17" fontId="4" fillId="0" borderId="0" xfId="0" applyNumberFormat="1" applyFont="1" applyFill="1" applyBorder="1" applyAlignment="1">
      <alignment horizontal="center"/>
    </xf>
    <xf numFmtId="17" fontId="5" fillId="0" borderId="0" xfId="0" applyNumberFormat="1" applyFont="1" applyFill="1" applyBorder="1" applyAlignment="1">
      <alignment horizontal="center"/>
    </xf>
    <xf numFmtId="164" fontId="4" fillId="0" borderId="0" xfId="1" applyNumberFormat="1" applyFont="1" applyBorder="1" applyAlignment="1">
      <alignment horizontal="left"/>
    </xf>
    <xf numFmtId="164" fontId="4" fillId="0" borderId="0" xfId="1" applyNumberFormat="1" applyFont="1" applyBorder="1" applyAlignment="1">
      <alignment horizontal="center"/>
    </xf>
    <xf numFmtId="164" fontId="4" fillId="0" borderId="0" xfId="1" applyNumberFormat="1" applyFont="1" applyBorder="1" applyAlignment="1">
      <alignment horizontal="right" vertical="center"/>
    </xf>
    <xf numFmtId="1" fontId="4" fillId="0" borderId="0" xfId="0" applyNumberFormat="1" applyFont="1" applyBorder="1" applyAlignment="1">
      <alignment horizontal="center" vertical="center"/>
    </xf>
    <xf numFmtId="9" fontId="4" fillId="0" borderId="0" xfId="3" applyFont="1" applyBorder="1" applyAlignment="1">
      <alignment horizontal="center" vertical="center"/>
    </xf>
    <xf numFmtId="1" fontId="4" fillId="2" borderId="0" xfId="0" applyNumberFormat="1" applyFont="1" applyFill="1" applyBorder="1" applyAlignment="1">
      <alignment horizontal="center"/>
    </xf>
    <xf numFmtId="1" fontId="4" fillId="2" borderId="0" xfId="0" applyNumberFormat="1" applyFont="1" applyFill="1" applyBorder="1"/>
    <xf numFmtId="0" fontId="4" fillId="0" borderId="0" xfId="0" applyFont="1" applyBorder="1" applyAlignment="1">
      <alignment horizontal="right"/>
    </xf>
    <xf numFmtId="166" fontId="4" fillId="0" borderId="0" xfId="2" applyNumberFormat="1" applyFont="1" applyBorder="1" applyAlignment="1">
      <alignment horizontal="center" vertical="center"/>
    </xf>
    <xf numFmtId="166" fontId="8" fillId="0" borderId="0" xfId="2" applyNumberFormat="1" applyFont="1" applyBorder="1" applyAlignment="1">
      <alignment horizontal="center" vertical="center"/>
    </xf>
    <xf numFmtId="0" fontId="8" fillId="0" borderId="0" xfId="0" applyFont="1" applyBorder="1"/>
    <xf numFmtId="164" fontId="4" fillId="0" borderId="0" xfId="0" applyNumberFormat="1" applyFont="1" applyFill="1" applyBorder="1" applyAlignment="1">
      <alignment horizontal="center"/>
    </xf>
    <xf numFmtId="1" fontId="4" fillId="0" borderId="0" xfId="0" applyNumberFormat="1" applyFont="1" applyFill="1" applyBorder="1" applyAlignment="1">
      <alignment horizontal="right"/>
    </xf>
    <xf numFmtId="166" fontId="4" fillId="0" borderId="0" xfId="0" applyNumberFormat="1" applyFont="1" applyFill="1" applyBorder="1" applyAlignment="1">
      <alignment horizontal="center"/>
    </xf>
    <xf numFmtId="1" fontId="5" fillId="0" borderId="0" xfId="0" applyNumberFormat="1" applyFont="1" applyFill="1" applyBorder="1" applyAlignment="1">
      <alignment horizontal="center"/>
    </xf>
    <xf numFmtId="2" fontId="4" fillId="0" borderId="0" xfId="3" applyNumberFormat="1" applyFont="1" applyFill="1" applyBorder="1" applyAlignment="1">
      <alignment horizontal="center" vertical="center"/>
    </xf>
    <xf numFmtId="2" fontId="4" fillId="0" borderId="0" xfId="3" quotePrefix="1" applyNumberFormat="1" applyFont="1" applyFill="1" applyBorder="1" applyAlignment="1">
      <alignment horizontal="center" vertical="center"/>
    </xf>
    <xf numFmtId="0" fontId="5" fillId="0" borderId="0" xfId="0" applyFont="1" applyFill="1" applyBorder="1" applyAlignment="1">
      <alignment wrapText="1"/>
    </xf>
    <xf numFmtId="1" fontId="5" fillId="0" borderId="0" xfId="3" applyNumberFormat="1" applyFont="1" applyFill="1" applyBorder="1" applyAlignment="1">
      <alignment horizontal="center" vertical="center"/>
    </xf>
    <xf numFmtId="1" fontId="4" fillId="0" borderId="0" xfId="3" applyNumberFormat="1" applyFont="1" applyFill="1" applyBorder="1" applyAlignment="1">
      <alignment horizontal="center" vertical="center"/>
    </xf>
    <xf numFmtId="0" fontId="6" fillId="0" borderId="0" xfId="0" applyFont="1" applyFill="1" applyBorder="1"/>
    <xf numFmtId="0" fontId="5" fillId="0" borderId="0" xfId="0" applyFont="1" applyFill="1" applyBorder="1" applyAlignment="1">
      <alignment horizontal="center" vertical="center" wrapText="1"/>
    </xf>
    <xf numFmtId="0" fontId="4" fillId="0" borderId="0" xfId="0" applyFont="1" applyFill="1" applyBorder="1" applyAlignment="1">
      <alignment horizontal="left" wrapText="1"/>
    </xf>
    <xf numFmtId="0" fontId="5" fillId="0" borderId="0" xfId="0" applyFont="1" applyFill="1" applyBorder="1" applyAlignment="1">
      <alignment horizontal="center" vertical="center"/>
    </xf>
    <xf numFmtId="0" fontId="4" fillId="0" borderId="0" xfId="0" applyFont="1" applyFill="1" applyBorder="1" applyAlignment="1">
      <alignment horizontal="left" indent="1"/>
    </xf>
    <xf numFmtId="164" fontId="4" fillId="0" borderId="0" xfId="1" applyNumberFormat="1" applyFont="1" applyFill="1" applyBorder="1" applyAlignment="1">
      <alignment horizontal="center" vertical="center"/>
    </xf>
    <xf numFmtId="1" fontId="4" fillId="0" borderId="0" xfId="1" applyNumberFormat="1" applyFont="1" applyFill="1" applyBorder="1" applyAlignment="1">
      <alignment horizontal="center" vertical="center"/>
    </xf>
    <xf numFmtId="164" fontId="4" fillId="0" borderId="0" xfId="1" applyNumberFormat="1" applyFont="1" applyFill="1" applyBorder="1"/>
    <xf numFmtId="0" fontId="5" fillId="0" borderId="0" xfId="0" applyFont="1" applyFill="1" applyBorder="1" applyAlignment="1">
      <alignment horizontal="left" vertical="center"/>
    </xf>
    <xf numFmtId="0" fontId="7" fillId="0" borderId="0" xfId="0" applyFont="1" applyFill="1" applyBorder="1" applyAlignment="1">
      <alignment horizontal="center"/>
    </xf>
    <xf numFmtId="1" fontId="9" fillId="0" borderId="0" xfId="3" applyNumberFormat="1" applyFont="1" applyFill="1" applyBorder="1" applyAlignment="1">
      <alignment horizontal="center" vertical="center"/>
    </xf>
    <xf numFmtId="2" fontId="12" fillId="0" borderId="0" xfId="3" applyNumberFormat="1" applyFont="1" applyFill="1" applyBorder="1" applyAlignment="1">
      <alignment horizontal="center" vertical="center"/>
    </xf>
    <xf numFmtId="9" fontId="12" fillId="0" borderId="0" xfId="3" applyFont="1" applyFill="1" applyBorder="1" applyAlignment="1">
      <alignment horizontal="center" vertical="center"/>
    </xf>
    <xf numFmtId="0" fontId="4" fillId="0" borderId="0" xfId="0" applyFont="1" applyFill="1" applyBorder="1" applyAlignment="1">
      <alignment horizontal="left" wrapText="1" indent="2"/>
    </xf>
    <xf numFmtId="1" fontId="4" fillId="0" borderId="0" xfId="0" applyNumberFormat="1" applyFont="1" applyFill="1" applyBorder="1" applyAlignment="1">
      <alignment horizontal="center"/>
    </xf>
    <xf numFmtId="0" fontId="5" fillId="0" borderId="0" xfId="0" applyFont="1" applyFill="1" applyBorder="1" applyAlignment="1">
      <alignment horizontal="left" indent="2"/>
    </xf>
    <xf numFmtId="0" fontId="5" fillId="2" borderId="0" xfId="0" applyFont="1" applyFill="1" applyBorder="1" applyAlignment="1">
      <alignment horizontal="center"/>
    </xf>
    <xf numFmtId="0" fontId="5" fillId="2" borderId="0" xfId="0" applyFont="1" applyFill="1" applyBorder="1" applyAlignment="1">
      <alignment horizontal="center" vertical="center"/>
    </xf>
    <xf numFmtId="0" fontId="4" fillId="2" borderId="0" xfId="0" applyFont="1" applyFill="1" applyBorder="1" applyAlignment="1">
      <alignment horizontal="center"/>
    </xf>
    <xf numFmtId="1" fontId="4" fillId="2" borderId="0" xfId="3" applyNumberFormat="1" applyFont="1" applyFill="1" applyBorder="1" applyAlignment="1">
      <alignment horizontal="center" vertical="center"/>
    </xf>
    <xf numFmtId="9" fontId="4" fillId="2" borderId="0" xfId="3" applyFont="1" applyFill="1" applyBorder="1" applyAlignment="1">
      <alignment horizontal="center" vertical="center"/>
    </xf>
    <xf numFmtId="0" fontId="4" fillId="2" borderId="0" xfId="0" applyFont="1" applyFill="1" applyBorder="1" applyAlignment="1">
      <alignment horizontal="left" indent="1"/>
    </xf>
    <xf numFmtId="1" fontId="4" fillId="2" borderId="0" xfId="3" applyNumberFormat="1" applyFont="1" applyFill="1" applyBorder="1" applyAlignment="1">
      <alignment horizontal="left" vertical="center" indent="12"/>
    </xf>
    <xf numFmtId="9" fontId="4" fillId="2" borderId="0" xfId="3" applyFont="1" applyFill="1" applyBorder="1" applyAlignment="1">
      <alignment horizontal="left" vertical="center" indent="8"/>
    </xf>
    <xf numFmtId="1" fontId="4" fillId="2" borderId="0" xfId="3" applyNumberFormat="1" applyFont="1" applyFill="1" applyBorder="1" applyAlignment="1">
      <alignment horizontal="left" vertical="center" indent="11"/>
    </xf>
    <xf numFmtId="1" fontId="6" fillId="2" borderId="0" xfId="3" applyNumberFormat="1" applyFont="1" applyFill="1" applyBorder="1" applyAlignment="1">
      <alignment horizontal="left" vertical="center" indent="11"/>
    </xf>
    <xf numFmtId="9" fontId="6" fillId="2" borderId="0" xfId="3" applyFont="1" applyFill="1" applyBorder="1" applyAlignment="1">
      <alignment horizontal="left" vertical="center" indent="8"/>
    </xf>
    <xf numFmtId="1" fontId="4" fillId="2" borderId="0" xfId="0" applyNumberFormat="1" applyFont="1" applyFill="1" applyBorder="1" applyAlignment="1">
      <alignment horizontal="center" vertical="center"/>
    </xf>
    <xf numFmtId="0" fontId="5" fillId="2" borderId="0" xfId="0" applyFont="1" applyFill="1" applyBorder="1"/>
    <xf numFmtId="1" fontId="5" fillId="2" borderId="0" xfId="0" applyNumberFormat="1" applyFont="1" applyFill="1" applyBorder="1" applyAlignment="1">
      <alignment horizontal="center" vertical="center"/>
    </xf>
    <xf numFmtId="9" fontId="5" fillId="2" borderId="0" xfId="3" applyFont="1" applyFill="1" applyBorder="1" applyAlignment="1">
      <alignment horizontal="center" vertical="center"/>
    </xf>
    <xf numFmtId="1" fontId="5" fillId="2" borderId="0" xfId="3" applyNumberFormat="1" applyFont="1" applyFill="1" applyBorder="1" applyAlignment="1">
      <alignment horizontal="center" vertical="center"/>
    </xf>
    <xf numFmtId="0" fontId="5" fillId="2" borderId="0" xfId="0" applyFont="1" applyFill="1" applyBorder="1" applyAlignment="1">
      <alignment wrapText="1"/>
    </xf>
    <xf numFmtId="0" fontId="4" fillId="2" borderId="0" xfId="0" applyFont="1" applyFill="1" applyBorder="1" applyAlignment="1">
      <alignment horizontal="center" vertical="center"/>
    </xf>
    <xf numFmtId="0" fontId="5" fillId="2" borderId="0" xfId="0" applyFont="1" applyFill="1" applyBorder="1" applyAlignment="1">
      <alignment horizontal="left"/>
    </xf>
    <xf numFmtId="1" fontId="4" fillId="2" borderId="0" xfId="0" applyNumberFormat="1" applyFont="1" applyFill="1" applyBorder="1" applyAlignment="1">
      <alignment horizontal="left" vertical="center" indent="12"/>
    </xf>
    <xf numFmtId="9" fontId="4" fillId="2" borderId="0" xfId="3" applyFont="1" applyFill="1" applyBorder="1"/>
    <xf numFmtId="1" fontId="6" fillId="2" borderId="0" xfId="3" applyNumberFormat="1" applyFont="1" applyFill="1" applyBorder="1" applyAlignment="1">
      <alignment horizontal="left" vertical="center" indent="12"/>
    </xf>
    <xf numFmtId="166" fontId="4" fillId="0" borderId="0" xfId="1" applyNumberFormat="1" applyFont="1" applyBorder="1" applyAlignment="1">
      <alignment horizontal="right" vertical="center"/>
    </xf>
    <xf numFmtId="166" fontId="4" fillId="0" borderId="0" xfId="0" applyNumberFormat="1" applyFont="1" applyBorder="1"/>
    <xf numFmtId="3" fontId="4" fillId="0" borderId="0" xfId="2" applyNumberFormat="1" applyFont="1" applyBorder="1" applyAlignment="1">
      <alignment vertical="center"/>
    </xf>
    <xf numFmtId="0" fontId="14" fillId="0" borderId="0" xfId="0" applyFont="1" applyAlignment="1">
      <alignment horizontal="center"/>
    </xf>
    <xf numFmtId="0" fontId="14" fillId="0" borderId="0" xfId="0" applyFont="1"/>
    <xf numFmtId="0" fontId="15" fillId="0" borderId="0" xfId="0" applyFont="1" applyAlignment="1">
      <alignment horizontal="center"/>
    </xf>
    <xf numFmtId="0" fontId="15" fillId="0" borderId="0" xfId="0" applyFont="1"/>
    <xf numFmtId="0" fontId="16" fillId="0" borderId="0" xfId="0" applyFont="1" applyAlignment="1">
      <alignment horizontal="center"/>
    </xf>
    <xf numFmtId="0" fontId="16" fillId="0" borderId="0" xfId="0" applyFont="1"/>
    <xf numFmtId="0" fontId="18" fillId="0" borderId="0" xfId="5" applyFont="1" applyAlignment="1" applyProtection="1">
      <alignment horizontal="center"/>
    </xf>
    <xf numFmtId="0" fontId="19" fillId="0" borderId="0" xfId="0" applyFont="1"/>
    <xf numFmtId="0" fontId="20" fillId="0" borderId="0" xfId="0" applyFont="1" applyAlignment="1">
      <alignment horizontal="center"/>
    </xf>
    <xf numFmtId="0" fontId="20" fillId="0" borderId="0" xfId="0" applyFont="1" applyAlignment="1">
      <alignment wrapText="1"/>
    </xf>
    <xf numFmtId="0" fontId="20" fillId="0" borderId="0" xfId="0" applyFont="1"/>
    <xf numFmtId="0" fontId="19" fillId="0" borderId="0" xfId="0" applyFont="1" applyAlignment="1">
      <alignment horizontal="center"/>
    </xf>
    <xf numFmtId="0" fontId="21" fillId="0" borderId="0" xfId="5" applyFont="1" applyAlignment="1" applyProtection="1">
      <alignment wrapText="1"/>
    </xf>
    <xf numFmtId="0" fontId="14" fillId="0" borderId="0" xfId="0" applyFont="1" applyAlignment="1">
      <alignment wrapText="1"/>
    </xf>
    <xf numFmtId="0" fontId="4" fillId="0" borderId="0" xfId="0" applyFont="1" applyFill="1" applyAlignment="1"/>
    <xf numFmtId="0" fontId="4" fillId="0" borderId="0" xfId="0" applyFont="1" applyAlignment="1">
      <alignment wrapText="1"/>
    </xf>
    <xf numFmtId="0" fontId="5" fillId="0" borderId="0" xfId="0" applyFont="1" applyFill="1" applyAlignment="1">
      <alignment horizontal="left" vertical="center"/>
    </xf>
    <xf numFmtId="44" fontId="4" fillId="0" borderId="0" xfId="0" applyNumberFormat="1" applyFont="1" applyFill="1" applyAlignment="1">
      <alignment horizontal="center" vertical="center"/>
    </xf>
    <xf numFmtId="0" fontId="0" fillId="0" borderId="0" xfId="0" applyFill="1"/>
    <xf numFmtId="168" fontId="0" fillId="0" borderId="0" xfId="0" applyNumberFormat="1"/>
    <xf numFmtId="0" fontId="0" fillId="0" borderId="0" xfId="0" applyAlignment="1">
      <alignment wrapText="1"/>
    </xf>
    <xf numFmtId="0" fontId="5" fillId="0" borderId="0" xfId="0" applyFont="1" applyAlignment="1">
      <alignment horizontal="center"/>
    </xf>
    <xf numFmtId="166" fontId="4" fillId="0" borderId="0" xfId="2" applyNumberFormat="1" applyFont="1" applyAlignment="1">
      <alignment horizontal="center"/>
    </xf>
    <xf numFmtId="0" fontId="3" fillId="0" borderId="0" xfId="0" applyFont="1" applyFill="1" applyAlignment="1">
      <alignment horizontal="center" vertical="center" wrapText="1"/>
    </xf>
    <xf numFmtId="0" fontId="4" fillId="0" borderId="0" xfId="0" applyFont="1" applyFill="1" applyAlignment="1">
      <alignment wrapText="1"/>
    </xf>
    <xf numFmtId="0" fontId="23" fillId="0" borderId="2" xfId="4" applyNumberFormat="1" applyFont="1" applyFill="1" applyBorder="1" applyAlignment="1">
      <alignment vertical="center"/>
    </xf>
    <xf numFmtId="0" fontId="23" fillId="0" borderId="0" xfId="4" applyNumberFormat="1" applyFont="1" applyFill="1" applyBorder="1" applyAlignment="1">
      <alignment vertical="center"/>
    </xf>
    <xf numFmtId="0" fontId="0" fillId="0" borderId="0" xfId="0" applyAlignment="1">
      <alignment vertical="top"/>
    </xf>
    <xf numFmtId="0" fontId="24" fillId="0" borderId="0" xfId="0" applyFont="1" applyAlignment="1">
      <alignment wrapText="1"/>
    </xf>
    <xf numFmtId="0" fontId="0" fillId="0" borderId="0" xfId="0" applyFont="1"/>
    <xf numFmtId="0" fontId="25" fillId="0" borderId="2" xfId="4" applyNumberFormat="1" applyFont="1" applyFill="1" applyBorder="1" applyAlignment="1">
      <alignment vertical="center"/>
    </xf>
    <xf numFmtId="0" fontId="25" fillId="0" borderId="0" xfId="4" applyNumberFormat="1" applyFont="1" applyFill="1" applyBorder="1" applyAlignment="1">
      <alignment vertical="center"/>
    </xf>
    <xf numFmtId="0" fontId="0" fillId="0" borderId="0" xfId="0" applyFont="1" applyAlignment="1">
      <alignment vertical="top"/>
    </xf>
    <xf numFmtId="0" fontId="25" fillId="0" borderId="2" xfId="4" applyNumberFormat="1" applyFont="1" applyFill="1" applyBorder="1" applyAlignment="1">
      <alignment vertical="top"/>
    </xf>
    <xf numFmtId="0" fontId="25" fillId="0" borderId="0" xfId="4" applyNumberFormat="1" applyFont="1" applyFill="1" applyBorder="1" applyAlignment="1">
      <alignment vertical="top"/>
    </xf>
    <xf numFmtId="0" fontId="25" fillId="0" borderId="3" xfId="4" applyNumberFormat="1" applyFont="1" applyFill="1" applyBorder="1" applyAlignment="1">
      <alignment vertical="center"/>
    </xf>
    <xf numFmtId="0" fontId="4" fillId="0" borderId="0" xfId="0" applyFont="1" applyFill="1" applyAlignment="1">
      <alignment horizontal="right"/>
    </xf>
    <xf numFmtId="37" fontId="4" fillId="0" borderId="0" xfId="2" applyNumberFormat="1" applyFont="1" applyAlignment="1">
      <alignment horizontal="center"/>
    </xf>
    <xf numFmtId="37" fontId="4" fillId="0" borderId="0" xfId="0" applyNumberFormat="1" applyFont="1" applyFill="1" applyAlignment="1">
      <alignment horizontal="center"/>
    </xf>
    <xf numFmtId="0" fontId="0" fillId="0" borderId="0" xfId="0" applyFill="1" applyBorder="1"/>
    <xf numFmtId="9" fontId="4" fillId="0" borderId="0" xfId="3" applyFont="1" applyFill="1" applyBorder="1"/>
    <xf numFmtId="44" fontId="4" fillId="0" borderId="0" xfId="2" applyFont="1" applyFill="1" applyBorder="1" applyAlignment="1">
      <alignment wrapText="1"/>
    </xf>
    <xf numFmtId="0" fontId="5" fillId="0" borderId="0" xfId="0" applyFont="1" applyFill="1" applyBorder="1" applyAlignment="1">
      <alignment horizontal="right"/>
    </xf>
    <xf numFmtId="42" fontId="4" fillId="0" borderId="0" xfId="0" applyNumberFormat="1" applyFont="1" applyFill="1" applyBorder="1" applyAlignment="1">
      <alignment horizontal="center"/>
    </xf>
    <xf numFmtId="42" fontId="4" fillId="0" borderId="0" xfId="3" applyNumberFormat="1" applyFont="1" applyFill="1" applyBorder="1" applyAlignment="1">
      <alignment horizontal="center" vertical="center"/>
    </xf>
    <xf numFmtId="42" fontId="4" fillId="0" borderId="0" xfId="0" applyNumberFormat="1" applyFont="1" applyFill="1" applyBorder="1"/>
    <xf numFmtId="1" fontId="4" fillId="0" borderId="0" xfId="3" applyNumberFormat="1" applyFont="1" applyFill="1" applyBorder="1" applyAlignment="1">
      <alignment horizontal="right" vertical="center"/>
    </xf>
    <xf numFmtId="44" fontId="4" fillId="0" borderId="0" xfId="0" applyNumberFormat="1" applyFont="1" applyFill="1" applyBorder="1" applyAlignment="1">
      <alignment horizontal="right"/>
    </xf>
    <xf numFmtId="44" fontId="4" fillId="0" borderId="0" xfId="3" applyNumberFormat="1" applyFont="1" applyFill="1" applyBorder="1" applyAlignment="1">
      <alignment horizontal="right" vertical="center"/>
    </xf>
    <xf numFmtId="44" fontId="4" fillId="0" borderId="0" xfId="3" quotePrefix="1" applyNumberFormat="1" applyFont="1" applyFill="1" applyBorder="1" applyAlignment="1">
      <alignment horizontal="right" vertical="center"/>
    </xf>
    <xf numFmtId="166" fontId="4" fillId="0" borderId="0" xfId="0" applyNumberFormat="1" applyFont="1" applyFill="1" applyBorder="1" applyAlignment="1">
      <alignment horizontal="right"/>
    </xf>
    <xf numFmtId="166" fontId="4" fillId="0" borderId="0" xfId="2" applyNumberFormat="1" applyFont="1" applyFill="1" applyBorder="1"/>
    <xf numFmtId="166" fontId="4" fillId="0" borderId="0" xfId="2" applyNumberFormat="1" applyFont="1" applyFill="1" applyBorder="1" applyAlignment="1">
      <alignment horizontal="center"/>
    </xf>
    <xf numFmtId="166" fontId="4" fillId="0" borderId="0" xfId="2" applyNumberFormat="1" applyFont="1" applyFill="1" applyBorder="1" applyAlignment="1">
      <alignment horizontal="center" vertical="center"/>
    </xf>
    <xf numFmtId="166" fontId="4" fillId="0" borderId="0" xfId="2" applyNumberFormat="1" applyFont="1" applyFill="1" applyBorder="1" applyAlignment="1">
      <alignment horizontal="left" indent="1"/>
    </xf>
    <xf numFmtId="166" fontId="4" fillId="0" borderId="0" xfId="2" applyNumberFormat="1" applyFont="1" applyFill="1" applyBorder="1" applyAlignment="1">
      <alignment horizontal="right"/>
    </xf>
    <xf numFmtId="44" fontId="7" fillId="0" borderId="0" xfId="2" applyFont="1" applyFill="1" applyBorder="1" applyAlignment="1">
      <alignment wrapText="1"/>
    </xf>
    <xf numFmtId="0" fontId="7" fillId="0" borderId="0" xfId="0" applyFont="1" applyFill="1" applyBorder="1" applyAlignment="1">
      <alignment wrapText="1"/>
    </xf>
    <xf numFmtId="0" fontId="25" fillId="0" borderId="0" xfId="4" applyNumberFormat="1" applyFont="1" applyFill="1" applyBorder="1" applyAlignment="1">
      <alignment vertical="center" wrapText="1"/>
    </xf>
    <xf numFmtId="0" fontId="0" fillId="0" borderId="0" xfId="0" applyFont="1" applyFill="1" applyBorder="1"/>
    <xf numFmtId="0" fontId="26" fillId="0" borderId="0" xfId="4" applyNumberFormat="1" applyFont="1" applyFill="1" applyBorder="1" applyAlignment="1">
      <alignment vertical="center" wrapText="1"/>
    </xf>
    <xf numFmtId="0" fontId="28" fillId="0" borderId="0" xfId="4" applyNumberFormat="1" applyFont="1" applyFill="1" applyBorder="1" applyAlignment="1">
      <alignment vertical="center" wrapText="1"/>
    </xf>
    <xf numFmtId="0" fontId="1" fillId="0" borderId="0" xfId="4" applyNumberFormat="1" applyFont="1" applyFill="1" applyBorder="1" applyAlignment="1">
      <alignment vertical="center"/>
    </xf>
    <xf numFmtId="0" fontId="1" fillId="0" borderId="0" xfId="4" applyNumberFormat="1" applyFont="1" applyFill="1" applyBorder="1" applyAlignment="1">
      <alignment vertical="center" wrapText="1"/>
    </xf>
    <xf numFmtId="164" fontId="4" fillId="0" borderId="0" xfId="1" applyNumberFormat="1" applyFont="1" applyFill="1" applyBorder="1" applyAlignment="1">
      <alignment horizontal="right" vertical="center"/>
    </xf>
    <xf numFmtId="0" fontId="8" fillId="0" borderId="0" xfId="0" applyFont="1" applyFill="1" applyBorder="1"/>
    <xf numFmtId="1" fontId="4" fillId="0" borderId="0" xfId="2" applyNumberFormat="1" applyFont="1" applyFill="1" applyBorder="1" applyAlignment="1">
      <alignment horizontal="right" vertical="center"/>
    </xf>
    <xf numFmtId="0" fontId="8" fillId="0" borderId="0" xfId="0" applyFont="1"/>
    <xf numFmtId="0" fontId="29" fillId="0" borderId="0" xfId="0" applyFont="1"/>
    <xf numFmtId="10" fontId="8" fillId="0" borderId="0" xfId="3" applyNumberFormat="1" applyFont="1" applyBorder="1" applyAlignment="1">
      <alignment horizontal="center" vertical="center"/>
    </xf>
    <xf numFmtId="9" fontId="3" fillId="0" borderId="0" xfId="3" applyFont="1" applyFill="1" applyAlignment="1">
      <alignment horizontal="center" vertical="center"/>
    </xf>
    <xf numFmtId="166" fontId="4" fillId="0" borderId="0" xfId="0" applyNumberFormat="1" applyFont="1" applyFill="1" applyBorder="1"/>
    <xf numFmtId="0" fontId="30" fillId="0" borderId="0" xfId="0" applyFont="1" applyFill="1" applyBorder="1"/>
    <xf numFmtId="9" fontId="30" fillId="0" borderId="0" xfId="3" applyFont="1" applyFill="1" applyBorder="1" applyAlignment="1">
      <alignment horizontal="right" vertical="center"/>
    </xf>
    <xf numFmtId="3" fontId="4" fillId="0" borderId="0" xfId="2" applyNumberFormat="1" applyFont="1" applyFill="1" applyBorder="1" applyAlignment="1">
      <alignment vertical="center"/>
    </xf>
    <xf numFmtId="3" fontId="4" fillId="0" borderId="0" xfId="0" applyNumberFormat="1" applyFont="1" applyFill="1" applyBorder="1" applyAlignment="1"/>
    <xf numFmtId="0" fontId="13" fillId="0" borderId="0" xfId="0" applyFont="1"/>
    <xf numFmtId="0" fontId="31" fillId="0" borderId="0" xfId="0" applyFont="1" applyFill="1" applyBorder="1"/>
    <xf numFmtId="0" fontId="1" fillId="0" borderId="0" xfId="4" applyNumberFormat="1" applyFont="1" applyFill="1" applyBorder="1" applyAlignment="1">
      <alignment horizontal="center" vertical="center"/>
    </xf>
    <xf numFmtId="0" fontId="5" fillId="0" borderId="0" xfId="0" applyFont="1" applyFill="1" applyAlignment="1">
      <alignment horizontal="center"/>
    </xf>
    <xf numFmtId="0" fontId="5" fillId="0" borderId="0" xfId="0" applyFont="1" applyFill="1" applyAlignment="1">
      <alignment horizontal="center" vertical="center"/>
    </xf>
    <xf numFmtId="0" fontId="33" fillId="2" borderId="0" xfId="0" applyFont="1" applyFill="1" applyAlignment="1">
      <alignment wrapText="1"/>
    </xf>
    <xf numFmtId="0" fontId="34" fillId="2" borderId="0" xfId="0" applyFont="1" applyFill="1" applyAlignment="1">
      <alignment wrapText="1"/>
    </xf>
    <xf numFmtId="44" fontId="33" fillId="2" borderId="0" xfId="0" applyNumberFormat="1" applyFont="1" applyFill="1" applyAlignment="1">
      <alignment wrapText="1"/>
    </xf>
    <xf numFmtId="0" fontId="33" fillId="2" borderId="0" xfId="0" applyFont="1" applyFill="1" applyBorder="1" applyAlignment="1">
      <alignment wrapText="1"/>
    </xf>
    <xf numFmtId="0" fontId="39" fillId="0" borderId="0" xfId="0" applyFont="1" applyAlignment="1"/>
    <xf numFmtId="0" fontId="39" fillId="0" borderId="0" xfId="0" applyFont="1" applyAlignment="1">
      <alignment horizontal="left"/>
    </xf>
    <xf numFmtId="0" fontId="39" fillId="0" borderId="0" xfId="0" applyFont="1" applyAlignment="1">
      <alignment wrapText="1"/>
    </xf>
    <xf numFmtId="0" fontId="39" fillId="0" borderId="0" xfId="0" applyFont="1" applyFill="1" applyAlignment="1">
      <alignment wrapText="1"/>
    </xf>
    <xf numFmtId="0" fontId="39" fillId="0" borderId="0" xfId="0" applyFont="1" applyFill="1" applyAlignment="1"/>
    <xf numFmtId="0" fontId="39" fillId="0" borderId="0" xfId="0" applyFont="1" applyFill="1" applyAlignment="1">
      <alignment horizontal="left"/>
    </xf>
    <xf numFmtId="0" fontId="39" fillId="0" borderId="0" xfId="0" applyFont="1" applyFill="1" applyAlignment="1">
      <alignment horizontal="center"/>
    </xf>
    <xf numFmtId="0" fontId="39" fillId="0" borderId="0" xfId="0" applyFont="1"/>
    <xf numFmtId="43" fontId="39" fillId="0" borderId="0" xfId="1" applyFont="1" applyAlignment="1">
      <alignment wrapText="1"/>
    </xf>
    <xf numFmtId="0" fontId="39" fillId="0" borderId="0" xfId="0" applyFont="1" applyFill="1" applyAlignment="1">
      <alignment horizontal="left" wrapText="1"/>
    </xf>
    <xf numFmtId="0" fontId="39" fillId="0" borderId="0" xfId="0" applyFont="1" applyFill="1" applyBorder="1"/>
    <xf numFmtId="0" fontId="37" fillId="0" borderId="0" xfId="0" applyFont="1" applyFill="1" applyAlignment="1">
      <alignment horizontal="center"/>
    </xf>
    <xf numFmtId="0" fontId="39" fillId="0" borderId="0" xfId="0" applyFont="1" applyBorder="1" applyAlignment="1"/>
    <xf numFmtId="0" fontId="39" fillId="2" borderId="0" xfId="0" applyFont="1" applyFill="1" applyAlignment="1"/>
    <xf numFmtId="9" fontId="37" fillId="0" borderId="0" xfId="3" applyNumberFormat="1" applyFont="1" applyFill="1" applyBorder="1" applyAlignment="1"/>
    <xf numFmtId="9" fontId="37" fillId="0" borderId="0" xfId="0" applyNumberFormat="1" applyFont="1" applyFill="1" applyAlignment="1"/>
    <xf numFmtId="0" fontId="37" fillId="2" borderId="0" xfId="0" applyFont="1" applyFill="1" applyBorder="1" applyAlignment="1"/>
    <xf numFmtId="0" fontId="39" fillId="2" borderId="0" xfId="0" applyFont="1" applyFill="1" applyBorder="1" applyAlignment="1"/>
    <xf numFmtId="0" fontId="39" fillId="2" borderId="0" xfId="0" applyFont="1" applyFill="1" applyBorder="1"/>
    <xf numFmtId="0" fontId="39" fillId="2" borderId="0" xfId="0" applyFont="1" applyFill="1" applyBorder="1" applyAlignment="1">
      <alignment horizontal="left"/>
    </xf>
    <xf numFmtId="0" fontId="3" fillId="0" borderId="0" xfId="0" applyFont="1" applyFill="1" applyAlignment="1">
      <alignment vertical="center"/>
    </xf>
    <xf numFmtId="0" fontId="36" fillId="2" borderId="0" xfId="0" applyFont="1" applyFill="1" applyBorder="1" applyAlignment="1">
      <alignment vertical="center"/>
    </xf>
    <xf numFmtId="0" fontId="5" fillId="0" borderId="0" xfId="0" applyFont="1" applyFill="1" applyAlignment="1">
      <alignment vertical="center"/>
    </xf>
    <xf numFmtId="166" fontId="36" fillId="0" borderId="0" xfId="0" applyNumberFormat="1" applyFont="1" applyBorder="1"/>
    <xf numFmtId="166" fontId="38" fillId="0" borderId="0" xfId="2" applyNumberFormat="1" applyFont="1" applyFill="1" applyBorder="1" applyAlignment="1">
      <alignment horizontal="center"/>
    </xf>
    <xf numFmtId="0" fontId="41" fillId="0" borderId="0" xfId="0" applyFont="1" applyAlignment="1">
      <alignment vertical="top"/>
    </xf>
    <xf numFmtId="0" fontId="43" fillId="0" borderId="0" xfId="0" applyFont="1" applyAlignment="1">
      <alignment wrapText="1"/>
    </xf>
    <xf numFmtId="0" fontId="42" fillId="0" borderId="3" xfId="4" applyNumberFormat="1" applyFont="1" applyFill="1" applyBorder="1" applyAlignment="1">
      <alignment vertical="center"/>
    </xf>
    <xf numFmtId="0" fontId="42" fillId="0" borderId="2" xfId="4" applyNumberFormat="1" applyFont="1" applyFill="1" applyBorder="1" applyAlignment="1">
      <alignment vertical="center"/>
    </xf>
    <xf numFmtId="0" fontId="44" fillId="0" borderId="2" xfId="4" applyNumberFormat="1" applyFont="1" applyFill="1" applyBorder="1" applyAlignment="1">
      <alignment vertical="center"/>
    </xf>
    <xf numFmtId="0" fontId="41" fillId="0" borderId="0" xfId="0" applyFont="1" applyAlignment="1">
      <alignment vertical="top" wrapText="1"/>
    </xf>
    <xf numFmtId="0" fontId="45" fillId="0" borderId="0" xfId="0" applyFont="1" applyAlignment="1">
      <alignment wrapText="1"/>
    </xf>
    <xf numFmtId="0" fontId="46" fillId="0" borderId="0" xfId="0" applyFont="1" applyBorder="1" applyAlignment="1">
      <alignment wrapText="1"/>
    </xf>
    <xf numFmtId="0" fontId="47" fillId="0" borderId="0" xfId="0" applyFont="1" applyAlignment="1">
      <alignment vertical="top" wrapText="1"/>
    </xf>
    <xf numFmtId="0" fontId="48" fillId="0" borderId="0" xfId="0" applyFont="1" applyAlignment="1">
      <alignment vertical="top" wrapText="1"/>
    </xf>
    <xf numFmtId="0" fontId="32" fillId="0" borderId="0" xfId="0" applyFont="1" applyAlignment="1">
      <alignment vertical="top" wrapText="1"/>
    </xf>
    <xf numFmtId="0" fontId="49" fillId="0" borderId="0" xfId="4" applyFont="1" applyAlignment="1">
      <alignment wrapText="1"/>
    </xf>
    <xf numFmtId="44" fontId="37" fillId="0" borderId="0" xfId="2" applyFont="1" applyFill="1" applyBorder="1" applyAlignment="1"/>
    <xf numFmtId="44" fontId="37" fillId="0" borderId="0" xfId="2" applyFont="1" applyFill="1" applyAlignment="1"/>
    <xf numFmtId="170" fontId="37" fillId="0" borderId="0" xfId="2" applyNumberFormat="1" applyFont="1" applyFill="1" applyAlignment="1"/>
    <xf numFmtId="0" fontId="50" fillId="0" borderId="2" xfId="4" applyNumberFormat="1" applyFont="1" applyFill="1" applyBorder="1" applyAlignment="1">
      <alignment vertical="top"/>
    </xf>
    <xf numFmtId="0" fontId="51" fillId="0" borderId="0" xfId="0" applyFont="1" applyFill="1" applyBorder="1" applyAlignment="1">
      <alignment vertical="top" wrapText="1"/>
    </xf>
    <xf numFmtId="0" fontId="51" fillId="0" borderId="0" xfId="4" applyNumberFormat="1" applyFont="1" applyFill="1" applyBorder="1" applyAlignment="1">
      <alignment vertical="top"/>
    </xf>
    <xf numFmtId="0" fontId="50" fillId="0" borderId="0" xfId="4" applyNumberFormat="1" applyFont="1" applyFill="1" applyBorder="1" applyAlignment="1">
      <alignment vertical="top"/>
    </xf>
    <xf numFmtId="0" fontId="51" fillId="0" borderId="0" xfId="0" applyFont="1" applyAlignment="1">
      <alignment vertical="top" wrapText="1"/>
    </xf>
    <xf numFmtId="0" fontId="50" fillId="0" borderId="3" xfId="4" applyNumberFormat="1" applyFont="1" applyFill="1" applyBorder="1" applyAlignment="1">
      <alignment vertical="top"/>
    </xf>
    <xf numFmtId="0" fontId="53" fillId="0" borderId="0" xfId="5" applyFont="1" applyAlignment="1" applyProtection="1"/>
    <xf numFmtId="0" fontId="54" fillId="0" borderId="0" xfId="4" applyNumberFormat="1" applyFont="1" applyFill="1" applyBorder="1" applyAlignment="1">
      <alignment vertical="top"/>
    </xf>
    <xf numFmtId="0" fontId="56" fillId="0" borderId="0" xfId="0" applyFont="1" applyAlignment="1">
      <alignment vertical="top" wrapText="1"/>
    </xf>
    <xf numFmtId="0" fontId="54" fillId="0" borderId="0" xfId="0" applyFont="1"/>
    <xf numFmtId="0" fontId="51" fillId="0" borderId="0" xfId="4" applyNumberFormat="1" applyFont="1" applyFill="1" applyBorder="1" applyAlignment="1">
      <alignment vertical="top" wrapText="1"/>
    </xf>
    <xf numFmtId="0" fontId="0" fillId="0" borderId="0" xfId="0" applyFont="1" applyFill="1" applyBorder="1" applyAlignment="1">
      <alignment wrapText="1"/>
    </xf>
    <xf numFmtId="0" fontId="0" fillId="0" borderId="0" xfId="0" applyFill="1" applyBorder="1" applyAlignment="1">
      <alignment wrapText="1"/>
    </xf>
    <xf numFmtId="0" fontId="37" fillId="0" borderId="0" xfId="0" applyFont="1" applyAlignment="1">
      <alignment horizontal="right"/>
    </xf>
    <xf numFmtId="44" fontId="37" fillId="5" borderId="5" xfId="2" applyFont="1" applyFill="1" applyBorder="1" applyAlignment="1"/>
    <xf numFmtId="3" fontId="37" fillId="5" borderId="6" xfId="3" applyNumberFormat="1" applyFont="1" applyFill="1" applyBorder="1" applyAlignment="1"/>
    <xf numFmtId="1" fontId="37" fillId="5" borderId="6" xfId="3" applyNumberFormat="1" applyFont="1" applyFill="1" applyBorder="1" applyAlignment="1"/>
    <xf numFmtId="165" fontId="37" fillId="5" borderId="7" xfId="3" applyNumberFormat="1" applyFont="1" applyFill="1" applyBorder="1" applyAlignment="1"/>
    <xf numFmtId="44" fontId="37" fillId="5" borderId="7" xfId="2" applyFont="1" applyFill="1" applyBorder="1" applyAlignment="1"/>
    <xf numFmtId="3" fontId="37" fillId="5" borderId="8" xfId="2" applyNumberFormat="1" applyFont="1" applyFill="1" applyBorder="1" applyAlignment="1"/>
    <xf numFmtId="167" fontId="37" fillId="5" borderId="8" xfId="2" applyNumberFormat="1" applyFont="1" applyFill="1" applyBorder="1" applyAlignment="1"/>
    <xf numFmtId="0" fontId="57" fillId="0" borderId="0" xfId="0" applyFont="1" applyFill="1" applyAlignment="1">
      <alignment horizontal="center" vertical="center"/>
    </xf>
    <xf numFmtId="0" fontId="37" fillId="0" borderId="0" xfId="0" applyFont="1" applyFill="1" applyAlignment="1">
      <alignment horizontal="center" wrapText="1"/>
    </xf>
    <xf numFmtId="0" fontId="37" fillId="0" borderId="0" xfId="0" applyFont="1" applyFill="1" applyBorder="1" applyAlignment="1">
      <alignment horizontal="center"/>
    </xf>
    <xf numFmtId="0" fontId="37" fillId="0" borderId="0" xfId="0" applyFont="1" applyFill="1" applyBorder="1" applyAlignment="1">
      <alignment horizontal="center" wrapText="1"/>
    </xf>
    <xf numFmtId="9" fontId="37" fillId="5" borderId="6" xfId="3" applyFont="1" applyFill="1" applyBorder="1" applyAlignment="1"/>
    <xf numFmtId="10" fontId="37" fillId="5" borderId="6" xfId="3" applyNumberFormat="1" applyFont="1" applyFill="1" applyBorder="1" applyAlignment="1"/>
    <xf numFmtId="37" fontId="37" fillId="5" borderId="8" xfId="2" applyNumberFormat="1" applyFont="1" applyFill="1" applyBorder="1" applyAlignment="1"/>
    <xf numFmtId="10" fontId="37" fillId="5" borderId="7" xfId="2" applyNumberFormat="1" applyFont="1" applyFill="1" applyBorder="1" applyAlignment="1"/>
    <xf numFmtId="44" fontId="37" fillId="5" borderId="8" xfId="2" applyFont="1" applyFill="1" applyBorder="1" applyAlignment="1"/>
    <xf numFmtId="43" fontId="37" fillId="0" borderId="0" xfId="1" applyFont="1" applyFill="1" applyBorder="1" applyAlignment="1">
      <alignment wrapText="1"/>
    </xf>
    <xf numFmtId="43" fontId="37" fillId="0" borderId="0" xfId="1" applyFont="1" applyFill="1" applyBorder="1" applyAlignment="1">
      <alignment horizontal="center" wrapText="1"/>
    </xf>
    <xf numFmtId="0" fontId="39" fillId="0" borderId="0" xfId="0" applyFont="1" applyAlignment="1">
      <alignment horizontal="left" wrapText="1"/>
    </xf>
    <xf numFmtId="9" fontId="37" fillId="5" borderId="8" xfId="3" applyFont="1" applyFill="1" applyBorder="1" applyAlignment="1"/>
    <xf numFmtId="9" fontId="37" fillId="5" borderId="7" xfId="3" applyFont="1" applyFill="1" applyBorder="1" applyAlignment="1"/>
    <xf numFmtId="1" fontId="37" fillId="5" borderId="7" xfId="2" applyNumberFormat="1" applyFont="1" applyFill="1" applyBorder="1" applyAlignment="1"/>
    <xf numFmtId="0" fontId="36" fillId="2" borderId="9" xfId="0" applyFont="1" applyFill="1" applyBorder="1" applyAlignment="1">
      <alignment vertical="center"/>
    </xf>
    <xf numFmtId="0" fontId="39" fillId="2" borderId="9" xfId="0" applyFont="1" applyFill="1" applyBorder="1" applyAlignment="1">
      <alignment horizontal="left"/>
    </xf>
    <xf numFmtId="0" fontId="59" fillId="0" borderId="0" xfId="5" applyFont="1" applyAlignment="1" applyProtection="1"/>
    <xf numFmtId="0" fontId="39" fillId="0" borderId="0" xfId="0" applyFont="1" applyFill="1" applyAlignment="1">
      <alignment horizontal="left" vertical="top" wrapText="1"/>
    </xf>
    <xf numFmtId="0" fontId="39" fillId="0" borderId="0" xfId="0" applyFont="1" applyFill="1" applyAlignment="1">
      <alignment horizontal="left" vertical="top"/>
    </xf>
    <xf numFmtId="0" fontId="38" fillId="0" borderId="0" xfId="0" applyFont="1" applyFill="1" applyAlignment="1">
      <alignment vertical="top" wrapText="1"/>
    </xf>
    <xf numFmtId="0" fontId="39" fillId="0" borderId="0" xfId="0" applyFont="1" applyFill="1" applyBorder="1" applyAlignment="1">
      <alignment horizontal="left" vertical="top" wrapText="1"/>
    </xf>
    <xf numFmtId="0" fontId="61" fillId="0" borderId="0" xfId="5" applyFont="1" applyFill="1" applyAlignment="1" applyProtection="1">
      <alignment horizontal="center" vertical="center"/>
    </xf>
    <xf numFmtId="0" fontId="37" fillId="0" borderId="0" xfId="0" applyFont="1" applyAlignment="1">
      <alignment horizontal="center" wrapText="1"/>
    </xf>
    <xf numFmtId="0" fontId="4" fillId="0" borderId="0" xfId="0" applyFont="1" applyAlignment="1">
      <alignment horizontal="center"/>
    </xf>
    <xf numFmtId="0" fontId="62" fillId="0" borderId="0" xfId="5" applyFont="1" applyFill="1" applyAlignment="1" applyProtection="1">
      <alignment horizontal="center" wrapText="1"/>
    </xf>
    <xf numFmtId="0" fontId="39" fillId="0" borderId="0" xfId="0" applyFont="1" applyFill="1" applyAlignment="1">
      <alignment vertical="top" wrapText="1"/>
    </xf>
    <xf numFmtId="0" fontId="37" fillId="0" borderId="0" xfId="0" applyFont="1" applyAlignment="1">
      <alignment horizontal="center"/>
    </xf>
    <xf numFmtId="0" fontId="62" fillId="0" borderId="0" xfId="5" applyFont="1" applyAlignment="1" applyProtection="1">
      <alignment horizontal="center"/>
    </xf>
    <xf numFmtId="0" fontId="62" fillId="0" borderId="0" xfId="5" applyFont="1" applyAlignment="1" applyProtection="1">
      <alignment horizontal="center" vertical="top" wrapText="1"/>
    </xf>
    <xf numFmtId="0" fontId="39" fillId="0" borderId="0" xfId="0" applyFont="1" applyFill="1" applyBorder="1" applyAlignment="1">
      <alignment wrapText="1"/>
    </xf>
    <xf numFmtId="0" fontId="64" fillId="0" borderId="0" xfId="5" applyFont="1" applyAlignment="1" applyProtection="1"/>
    <xf numFmtId="0" fontId="40" fillId="0" borderId="0" xfId="0" applyFont="1" applyFill="1" applyBorder="1" applyAlignment="1">
      <alignment horizontal="right"/>
    </xf>
    <xf numFmtId="0" fontId="39" fillId="0" borderId="0" xfId="0" applyFont="1" applyFill="1" applyBorder="1" applyAlignment="1">
      <alignment horizontal="left" indent="1"/>
    </xf>
    <xf numFmtId="0" fontId="37" fillId="0" borderId="0" xfId="0" applyFont="1" applyFill="1" applyBorder="1"/>
    <xf numFmtId="3" fontId="37" fillId="0" borderId="11" xfId="0" applyNumberFormat="1" applyFont="1" applyFill="1" applyBorder="1" applyAlignment="1">
      <alignment horizontal="right"/>
    </xf>
    <xf numFmtId="3" fontId="39" fillId="0" borderId="11" xfId="0" applyNumberFormat="1" applyFont="1" applyBorder="1" applyAlignment="1">
      <alignment horizontal="right"/>
    </xf>
    <xf numFmtId="0" fontId="39" fillId="0" borderId="11" xfId="0" applyFont="1" applyBorder="1" applyAlignment="1">
      <alignment horizontal="right"/>
    </xf>
    <xf numFmtId="166" fontId="39" fillId="0" borderId="11" xfId="0" applyNumberFormat="1" applyFont="1" applyBorder="1" applyAlignment="1">
      <alignment horizontal="right"/>
    </xf>
    <xf numFmtId="166" fontId="39" fillId="0" borderId="11" xfId="0" applyNumberFormat="1" applyFont="1" applyFill="1" applyBorder="1" applyAlignment="1">
      <alignment horizontal="right" wrapText="1"/>
    </xf>
    <xf numFmtId="0" fontId="37" fillId="0" borderId="11" xfId="0" applyFont="1" applyBorder="1" applyAlignment="1">
      <alignment horizontal="right"/>
    </xf>
    <xf numFmtId="0" fontId="39" fillId="0" borderId="11" xfId="0" applyFont="1" applyFill="1" applyBorder="1" applyAlignment="1">
      <alignment horizontal="right"/>
    </xf>
    <xf numFmtId="0" fontId="37" fillId="0" borderId="11" xfId="0" applyFont="1" applyFill="1" applyBorder="1" applyAlignment="1">
      <alignment horizontal="left"/>
    </xf>
    <xf numFmtId="0" fontId="39" fillId="0" borderId="11" xfId="0" applyFont="1" applyFill="1" applyBorder="1" applyAlignment="1">
      <alignment horizontal="right" vertical="center" wrapText="1"/>
    </xf>
    <xf numFmtId="0" fontId="39" fillId="0" borderId="11" xfId="0" applyFont="1" applyFill="1" applyBorder="1" applyAlignment="1">
      <alignment horizontal="right" vertical="center"/>
    </xf>
    <xf numFmtId="0" fontId="39" fillId="0" borderId="11" xfId="0" applyFont="1" applyFill="1" applyBorder="1"/>
    <xf numFmtId="0" fontId="39" fillId="0" borderId="11" xfId="0" applyFont="1" applyFill="1" applyBorder="1" applyAlignment="1">
      <alignment horizontal="right" wrapText="1"/>
    </xf>
    <xf numFmtId="0" fontId="39" fillId="0" borderId="11" xfId="0" applyFont="1" applyFill="1" applyBorder="1" applyAlignment="1">
      <alignment horizontal="left" vertical="center" wrapText="1" indent="1"/>
    </xf>
    <xf numFmtId="0" fontId="46" fillId="0" borderId="11" xfId="0" applyFont="1" applyFill="1" applyBorder="1" applyAlignment="1">
      <alignment vertical="center"/>
    </xf>
    <xf numFmtId="0" fontId="37" fillId="0" borderId="11" xfId="0" applyFont="1" applyFill="1" applyBorder="1" applyAlignment="1"/>
    <xf numFmtId="0" fontId="5" fillId="0" borderId="0" xfId="0" applyFont="1" applyBorder="1" applyAlignment="1">
      <alignment horizontal="center"/>
    </xf>
    <xf numFmtId="166" fontId="4" fillId="0" borderId="0" xfId="2" applyNumberFormat="1" applyFont="1" applyBorder="1" applyAlignment="1">
      <alignment horizontal="center"/>
    </xf>
    <xf numFmtId="166" fontId="4" fillId="0" borderId="0" xfId="2" applyNumberFormat="1" applyFont="1" applyBorder="1" applyAlignment="1">
      <alignment horizontal="right"/>
    </xf>
    <xf numFmtId="37" fontId="4" fillId="0" borderId="0" xfId="2" applyNumberFormat="1" applyFont="1" applyBorder="1" applyAlignment="1">
      <alignment horizontal="right"/>
    </xf>
    <xf numFmtId="37" fontId="4" fillId="0" borderId="0" xfId="0" applyNumberFormat="1" applyFont="1" applyFill="1" applyBorder="1" applyAlignment="1">
      <alignment horizontal="right"/>
    </xf>
    <xf numFmtId="0" fontId="0" fillId="0" borderId="0" xfId="0" applyBorder="1"/>
    <xf numFmtId="0" fontId="36" fillId="0" borderId="0" xfId="0" applyFont="1" applyBorder="1" applyAlignment="1">
      <alignment horizontal="right"/>
    </xf>
    <xf numFmtId="0" fontId="11" fillId="0" borderId="11" xfId="0" applyFont="1" applyFill="1" applyBorder="1" applyAlignment="1">
      <alignment vertical="center"/>
    </xf>
    <xf numFmtId="17" fontId="36" fillId="5" borderId="0" xfId="0" applyNumberFormat="1" applyFont="1" applyFill="1" applyBorder="1" applyAlignment="1">
      <alignment horizontal="center"/>
    </xf>
    <xf numFmtId="3" fontId="4" fillId="0" borderId="0" xfId="0" applyNumberFormat="1" applyFont="1" applyFill="1" applyBorder="1" applyAlignment="1">
      <alignment vertical="center"/>
    </xf>
    <xf numFmtId="164" fontId="4" fillId="0" borderId="0" xfId="1" applyNumberFormat="1" applyFont="1" applyFill="1" applyBorder="1" applyAlignment="1">
      <alignment vertical="center"/>
    </xf>
    <xf numFmtId="0" fontId="36" fillId="0" borderId="11" xfId="0" applyFont="1" applyFill="1" applyBorder="1" applyAlignment="1">
      <alignment horizontal="right"/>
    </xf>
    <xf numFmtId="166" fontId="36" fillId="0" borderId="0" xfId="2" applyNumberFormat="1" applyFont="1" applyFill="1" applyBorder="1" applyAlignment="1">
      <alignment horizontal="center" vertical="center"/>
    </xf>
    <xf numFmtId="0" fontId="36" fillId="0" borderId="0" xfId="0" applyFont="1" applyFill="1" applyBorder="1"/>
    <xf numFmtId="0" fontId="4" fillId="5" borderId="0" xfId="0" applyFont="1" applyFill="1" applyBorder="1"/>
    <xf numFmtId="0" fontId="37" fillId="5" borderId="11" xfId="0" applyFont="1" applyFill="1" applyBorder="1" applyAlignment="1">
      <alignment horizontal="right"/>
    </xf>
    <xf numFmtId="166" fontId="4" fillId="5" borderId="0" xfId="2" applyNumberFormat="1" applyFont="1" applyFill="1" applyBorder="1" applyAlignment="1">
      <alignment horizontal="center" vertical="center"/>
    </xf>
    <xf numFmtId="0" fontId="36" fillId="0" borderId="11" xfId="0" applyFont="1" applyFill="1" applyBorder="1" applyAlignment="1">
      <alignment horizontal="right" wrapText="1"/>
    </xf>
    <xf numFmtId="0" fontId="38" fillId="0" borderId="0" xfId="0" applyFont="1" applyFill="1"/>
    <xf numFmtId="0" fontId="38" fillId="0" borderId="9" xfId="0" applyFont="1" applyFill="1" applyBorder="1"/>
    <xf numFmtId="164" fontId="4" fillId="5" borderId="13" xfId="1" applyNumberFormat="1" applyFont="1" applyFill="1" applyBorder="1" applyAlignment="1">
      <alignment horizontal="right" vertical="center"/>
    </xf>
    <xf numFmtId="1" fontId="4" fillId="5" borderId="13" xfId="0" applyNumberFormat="1" applyFont="1" applyFill="1" applyBorder="1" applyAlignment="1">
      <alignment horizontal="center" vertical="center"/>
    </xf>
    <xf numFmtId="9" fontId="4" fillId="5" borderId="13" xfId="3" applyFont="1" applyFill="1" applyBorder="1" applyAlignment="1">
      <alignment horizontal="center" vertical="center"/>
    </xf>
    <xf numFmtId="1" fontId="4" fillId="5" borderId="13" xfId="0" applyNumberFormat="1" applyFont="1" applyFill="1" applyBorder="1" applyAlignment="1">
      <alignment horizontal="center"/>
    </xf>
    <xf numFmtId="1" fontId="4" fillId="5" borderId="13" xfId="0" applyNumberFormat="1" applyFont="1" applyFill="1" applyBorder="1"/>
    <xf numFmtId="0" fontId="4" fillId="5" borderId="13" xfId="0" applyFont="1" applyFill="1" applyBorder="1"/>
    <xf numFmtId="0" fontId="36" fillId="0" borderId="11" xfId="0" applyFont="1" applyFill="1" applyBorder="1" applyAlignment="1">
      <alignment horizontal="right" vertical="center" wrapText="1"/>
    </xf>
    <xf numFmtId="166" fontId="36" fillId="0" borderId="0" xfId="0" applyNumberFormat="1" applyFont="1" applyFill="1" applyBorder="1" applyAlignment="1">
      <alignment horizontal="center"/>
    </xf>
    <xf numFmtId="3" fontId="37" fillId="5" borderId="14" xfId="0" applyNumberFormat="1" applyFont="1" applyFill="1" applyBorder="1" applyAlignment="1">
      <alignment horizontal="left" indent="1"/>
    </xf>
    <xf numFmtId="0" fontId="35" fillId="0" borderId="0" xfId="0" applyFont="1" applyFill="1" applyBorder="1"/>
    <xf numFmtId="0" fontId="35" fillId="4" borderId="11" xfId="0" applyFont="1" applyFill="1" applyBorder="1" applyAlignment="1">
      <alignment horizontal="right" vertical="center" wrapText="1"/>
    </xf>
    <xf numFmtId="166" fontId="35" fillId="4" borderId="0" xfId="0" applyNumberFormat="1" applyFont="1" applyFill="1" applyBorder="1" applyAlignment="1">
      <alignment horizontal="center"/>
    </xf>
    <xf numFmtId="0" fontId="66" fillId="0" borderId="9" xfId="0" applyFont="1" applyFill="1" applyBorder="1" applyAlignment="1"/>
    <xf numFmtId="0" fontId="66" fillId="0" borderId="9" xfId="0" applyFont="1" applyFill="1" applyBorder="1"/>
    <xf numFmtId="17" fontId="36" fillId="5" borderId="1" xfId="0" applyNumberFormat="1" applyFont="1" applyFill="1" applyBorder="1" applyAlignment="1">
      <alignment horizontal="center"/>
    </xf>
    <xf numFmtId="3" fontId="36" fillId="0" borderId="11" xfId="0" applyNumberFormat="1" applyFont="1" applyBorder="1" applyAlignment="1">
      <alignment horizontal="right"/>
    </xf>
    <xf numFmtId="166" fontId="36" fillId="0" borderId="0" xfId="2" applyNumberFormat="1" applyFont="1" applyBorder="1" applyAlignment="1">
      <alignment horizontal="center" vertical="center"/>
    </xf>
    <xf numFmtId="1" fontId="4" fillId="0" borderId="0" xfId="2" applyNumberFormat="1" applyFont="1" applyBorder="1" applyAlignment="1">
      <alignment horizontal="left" vertical="center"/>
    </xf>
    <xf numFmtId="0" fontId="4" fillId="0" borderId="0" xfId="0" applyFont="1" applyFill="1" applyBorder="1" applyAlignment="1"/>
    <xf numFmtId="0" fontId="4" fillId="0" borderId="0" xfId="0" applyFont="1" applyFill="1" applyBorder="1" applyAlignment="1">
      <alignment horizontal="left"/>
    </xf>
    <xf numFmtId="3" fontId="4" fillId="0" borderId="0" xfId="2" applyNumberFormat="1" applyFont="1" applyBorder="1" applyAlignment="1">
      <alignment horizontal="left" vertical="center"/>
    </xf>
    <xf numFmtId="3" fontId="4" fillId="0" borderId="0" xfId="0" applyNumberFormat="1" applyFont="1" applyFill="1" applyBorder="1" applyAlignment="1">
      <alignment horizontal="left"/>
    </xf>
    <xf numFmtId="166" fontId="4" fillId="0" borderId="0" xfId="2" applyNumberFormat="1" applyFont="1" applyBorder="1" applyAlignment="1">
      <alignment horizontal="left" vertical="center"/>
    </xf>
    <xf numFmtId="0" fontId="36" fillId="0" borderId="0" xfId="0" applyFont="1" applyFill="1" applyBorder="1" applyAlignment="1"/>
    <xf numFmtId="166" fontId="36" fillId="0" borderId="0" xfId="2" applyNumberFormat="1" applyFont="1" applyBorder="1" applyAlignment="1">
      <alignment horizontal="left" vertical="center"/>
    </xf>
    <xf numFmtId="3" fontId="4" fillId="0" borderId="0" xfId="2" applyNumberFormat="1" applyFont="1" applyBorder="1" applyAlignment="1">
      <alignment horizontal="left" vertical="top"/>
    </xf>
    <xf numFmtId="166" fontId="4" fillId="0" borderId="0" xfId="2" applyNumberFormat="1" applyFont="1" applyBorder="1" applyAlignment="1">
      <alignment horizontal="left" vertical="top"/>
    </xf>
    <xf numFmtId="1" fontId="4" fillId="0" borderId="0" xfId="2" applyNumberFormat="1" applyFont="1" applyBorder="1" applyAlignment="1">
      <alignment horizontal="left" vertical="top"/>
    </xf>
    <xf numFmtId="166" fontId="36" fillId="0" borderId="0" xfId="2" applyNumberFormat="1" applyFont="1" applyBorder="1" applyAlignment="1">
      <alignment horizontal="left" vertical="top"/>
    </xf>
    <xf numFmtId="0" fontId="36" fillId="0" borderId="0" xfId="0" applyFont="1" applyFill="1" applyBorder="1" applyAlignment="1">
      <alignment horizontal="left"/>
    </xf>
    <xf numFmtId="0" fontId="6" fillId="5" borderId="0" xfId="0" applyFont="1" applyFill="1" applyBorder="1"/>
    <xf numFmtId="164" fontId="4" fillId="0" borderId="0" xfId="1" applyNumberFormat="1" applyFont="1" applyFill="1" applyBorder="1" applyAlignment="1">
      <alignment horizontal="left"/>
    </xf>
    <xf numFmtId="1" fontId="4" fillId="0" borderId="0" xfId="0" applyNumberFormat="1" applyFont="1" applyFill="1" applyBorder="1" applyAlignment="1">
      <alignment horizontal="left"/>
    </xf>
    <xf numFmtId="166" fontId="36" fillId="0" borderId="0" xfId="0" applyNumberFormat="1" applyFont="1" applyFill="1" applyBorder="1" applyAlignment="1">
      <alignment horizontal="left"/>
    </xf>
    <xf numFmtId="0" fontId="35" fillId="4" borderId="11" xfId="0" applyFont="1" applyFill="1" applyBorder="1" applyAlignment="1">
      <alignment horizontal="right" wrapText="1"/>
    </xf>
    <xf numFmtId="43" fontId="4" fillId="2" borderId="0" xfId="0" applyNumberFormat="1" applyFont="1" applyFill="1" applyBorder="1"/>
    <xf numFmtId="44" fontId="36" fillId="5" borderId="5" xfId="2" applyFont="1" applyFill="1" applyBorder="1" applyAlignment="1"/>
    <xf numFmtId="0" fontId="39" fillId="2" borderId="9" xfId="0" applyFont="1" applyFill="1" applyBorder="1"/>
    <xf numFmtId="0" fontId="39" fillId="2" borderId="9" xfId="0" applyFont="1" applyFill="1" applyBorder="1" applyAlignment="1"/>
    <xf numFmtId="166" fontId="37" fillId="5" borderId="6" xfId="2" applyNumberFormat="1" applyFont="1" applyFill="1" applyBorder="1" applyAlignment="1">
      <alignment wrapText="1"/>
    </xf>
    <xf numFmtId="2" fontId="37" fillId="5" borderId="7" xfId="2" applyNumberFormat="1" applyFont="1" applyFill="1" applyBorder="1" applyAlignment="1">
      <alignment wrapText="1"/>
    </xf>
    <xf numFmtId="9" fontId="37" fillId="5" borderId="7" xfId="3" applyFont="1" applyFill="1" applyBorder="1" applyAlignment="1">
      <alignment horizontal="right" wrapText="1"/>
    </xf>
    <xf numFmtId="0" fontId="39" fillId="0" borderId="0" xfId="0" applyFont="1" applyBorder="1" applyAlignment="1">
      <alignment wrapText="1"/>
    </xf>
    <xf numFmtId="166" fontId="37" fillId="5" borderId="7" xfId="2" applyNumberFormat="1" applyFont="1" applyFill="1" applyBorder="1" applyAlignment="1">
      <alignment wrapText="1"/>
    </xf>
    <xf numFmtId="9" fontId="37" fillId="5" borderId="7" xfId="3" applyFont="1" applyFill="1" applyBorder="1" applyAlignment="1">
      <alignment wrapText="1"/>
    </xf>
    <xf numFmtId="44" fontId="37" fillId="5" borderId="7" xfId="2" applyFont="1" applyFill="1" applyBorder="1" applyAlignment="1">
      <alignment wrapText="1"/>
    </xf>
    <xf numFmtId="44" fontId="37" fillId="5" borderId="7" xfId="2" applyNumberFormat="1" applyFont="1" applyFill="1" applyBorder="1" applyAlignment="1">
      <alignment wrapText="1"/>
    </xf>
    <xf numFmtId="164" fontId="37" fillId="5" borderId="8" xfId="1" applyNumberFormat="1" applyFont="1" applyFill="1" applyBorder="1" applyAlignment="1"/>
    <xf numFmtId="165" fontId="37" fillId="5" borderId="7" xfId="3" applyNumberFormat="1" applyFont="1" applyFill="1" applyBorder="1" applyAlignment="1">
      <alignment wrapText="1"/>
    </xf>
    <xf numFmtId="44" fontId="37" fillId="5" borderId="6" xfId="2" applyFont="1" applyFill="1" applyBorder="1" applyAlignment="1"/>
    <xf numFmtId="0" fontId="37" fillId="5" borderId="6" xfId="0" applyFont="1" applyFill="1" applyBorder="1" applyAlignment="1"/>
    <xf numFmtId="0" fontId="37" fillId="5" borderId="7" xfId="0" applyFont="1" applyFill="1" applyBorder="1" applyAlignment="1"/>
    <xf numFmtId="1" fontId="37" fillId="5" borderId="7" xfId="0" applyNumberFormat="1" applyFont="1" applyFill="1" applyBorder="1" applyAlignment="1">
      <alignment horizontal="right"/>
    </xf>
    <xf numFmtId="0" fontId="60" fillId="0" borderId="0" xfId="5" applyFont="1" applyAlignment="1" applyProtection="1"/>
    <xf numFmtId="0" fontId="39" fillId="0" borderId="0" xfId="0" applyFont="1" applyAlignment="1">
      <alignment vertical="top" wrapText="1"/>
    </xf>
    <xf numFmtId="0" fontId="5" fillId="0" borderId="0" xfId="0" applyFont="1" applyAlignment="1"/>
    <xf numFmtId="0" fontId="63" fillId="0" borderId="0" xfId="5" applyFont="1" applyAlignment="1" applyProtection="1">
      <alignment horizontal="left"/>
    </xf>
    <xf numFmtId="0" fontId="67" fillId="0" borderId="0" xfId="5" applyFont="1" applyAlignment="1" applyProtection="1">
      <alignment horizontal="left"/>
    </xf>
    <xf numFmtId="9" fontId="37" fillId="5" borderId="8" xfId="3" applyNumberFormat="1" applyFont="1" applyFill="1" applyBorder="1" applyAlignment="1">
      <alignment wrapText="1"/>
    </xf>
    <xf numFmtId="9" fontId="37" fillId="5" borderId="7" xfId="3" applyNumberFormat="1" applyFont="1" applyFill="1" applyBorder="1" applyAlignment="1">
      <alignment wrapText="1"/>
    </xf>
    <xf numFmtId="0" fontId="39" fillId="0" borderId="12" xfId="0" applyFont="1" applyBorder="1" applyAlignment="1"/>
    <xf numFmtId="0" fontId="5" fillId="0" borderId="12" xfId="0" applyFont="1" applyBorder="1" applyAlignment="1"/>
    <xf numFmtId="0" fontId="37" fillId="0" borderId="0" xfId="0" applyFont="1" applyFill="1" applyAlignment="1">
      <alignment horizontal="center" vertical="center"/>
    </xf>
    <xf numFmtId="0" fontId="5" fillId="0" borderId="0" xfId="0" applyFont="1" applyBorder="1" applyAlignment="1"/>
    <xf numFmtId="0" fontId="39" fillId="0" borderId="0" xfId="0" applyFont="1" applyBorder="1" applyAlignment="1">
      <alignment horizontal="left" indent="1"/>
    </xf>
    <xf numFmtId="0" fontId="4" fillId="0" borderId="0" xfId="0" applyFont="1" applyBorder="1" applyAlignment="1"/>
    <xf numFmtId="0" fontId="0" fillId="0" borderId="0" xfId="0" applyFill="1" applyAlignment="1">
      <alignment horizontal="center"/>
    </xf>
    <xf numFmtId="0" fontId="61" fillId="0" borderId="0" xfId="5" applyFont="1" applyFill="1" applyAlignment="1" applyProtection="1">
      <alignment horizontal="center"/>
    </xf>
    <xf numFmtId="0" fontId="61" fillId="0" borderId="0" xfId="5" applyFont="1" applyFill="1" applyBorder="1" applyAlignment="1" applyProtection="1">
      <alignment horizontal="center" wrapText="1"/>
    </xf>
    <xf numFmtId="1" fontId="37" fillId="0" borderId="0" xfId="3" applyNumberFormat="1" applyFont="1" applyFill="1" applyBorder="1" applyAlignment="1"/>
    <xf numFmtId="6" fontId="37" fillId="5" borderId="8" xfId="0" applyNumberFormat="1" applyFont="1" applyFill="1" applyBorder="1" applyAlignment="1"/>
    <xf numFmtId="1" fontId="37" fillId="5" borderId="8" xfId="3" applyNumberFormat="1" applyFont="1" applyFill="1" applyBorder="1" applyAlignment="1"/>
    <xf numFmtId="0" fontId="39" fillId="0" borderId="0" xfId="0" applyFont="1" applyFill="1" applyBorder="1" applyAlignment="1">
      <alignment horizontal="left"/>
    </xf>
    <xf numFmtId="0" fontId="63" fillId="0" borderId="0" xfId="5" applyFont="1" applyFill="1" applyAlignment="1" applyProtection="1">
      <alignment horizontal="left"/>
    </xf>
    <xf numFmtId="0" fontId="68" fillId="0" borderId="0" xfId="0" applyFont="1" applyFill="1" applyBorder="1"/>
    <xf numFmtId="0" fontId="68" fillId="0" borderId="9" xfId="0" applyFont="1" applyFill="1" applyBorder="1"/>
    <xf numFmtId="17" fontId="36" fillId="5" borderId="0" xfId="0" applyNumberFormat="1" applyFont="1" applyFill="1" applyBorder="1" applyAlignment="1">
      <alignment horizontal="right"/>
    </xf>
    <xf numFmtId="0" fontId="29" fillId="0" borderId="0" xfId="0" applyFont="1" applyBorder="1"/>
    <xf numFmtId="166" fontId="29" fillId="0" borderId="0" xfId="0" applyNumberFormat="1" applyFont="1" applyBorder="1"/>
    <xf numFmtId="0" fontId="37" fillId="0" borderId="15" xfId="0" applyFont="1" applyBorder="1" applyAlignment="1">
      <alignment horizontal="right"/>
    </xf>
    <xf numFmtId="166" fontId="37" fillId="0" borderId="15" xfId="2" applyNumberFormat="1" applyFont="1" applyFill="1" applyBorder="1" applyAlignment="1">
      <alignment horizontal="right"/>
    </xf>
    <xf numFmtId="0" fontId="39" fillId="0" borderId="15" xfId="0" applyFont="1" applyBorder="1" applyAlignment="1">
      <alignment horizontal="right"/>
    </xf>
    <xf numFmtId="166" fontId="39" fillId="0" borderId="15" xfId="2" applyNumberFormat="1" applyFont="1" applyFill="1" applyBorder="1" applyAlignment="1">
      <alignment horizontal="right"/>
    </xf>
    <xf numFmtId="0" fontId="39" fillId="0" borderId="15" xfId="0" applyFont="1" applyFill="1" applyBorder="1"/>
    <xf numFmtId="0" fontId="39" fillId="0" borderId="15" xfId="0" applyFont="1" applyFill="1" applyBorder="1" applyAlignment="1">
      <alignment horizontal="left" vertical="center" wrapText="1" indent="1"/>
    </xf>
    <xf numFmtId="42" fontId="39" fillId="0" borderId="15" xfId="0" applyNumberFormat="1" applyFont="1" applyFill="1" applyBorder="1" applyAlignment="1">
      <alignment horizontal="right"/>
    </xf>
    <xf numFmtId="1" fontId="39" fillId="0" borderId="15" xfId="0" applyNumberFormat="1" applyFont="1" applyFill="1" applyBorder="1" applyAlignment="1">
      <alignment horizontal="right"/>
    </xf>
    <xf numFmtId="166" fontId="39" fillId="0" borderId="15" xfId="0" applyNumberFormat="1" applyFont="1" applyFill="1" applyBorder="1" applyAlignment="1">
      <alignment horizontal="right"/>
    </xf>
    <xf numFmtId="44" fontId="39" fillId="0" borderId="15" xfId="0" applyNumberFormat="1" applyFont="1" applyFill="1" applyBorder="1" applyAlignment="1">
      <alignment horizontal="right"/>
    </xf>
    <xf numFmtId="0" fontId="39" fillId="0" borderId="15" xfId="0" applyFont="1" applyBorder="1"/>
    <xf numFmtId="0" fontId="37" fillId="5" borderId="15" xfId="0" applyFont="1" applyFill="1" applyBorder="1" applyAlignment="1">
      <alignment horizontal="right"/>
    </xf>
    <xf numFmtId="0" fontId="37" fillId="5" borderId="15" xfId="0" applyFont="1" applyFill="1" applyBorder="1" applyAlignment="1">
      <alignment horizontal="left" indent="1"/>
    </xf>
    <xf numFmtId="0" fontId="37" fillId="5" borderId="17" xfId="0" applyFont="1" applyFill="1" applyBorder="1" applyAlignment="1">
      <alignment horizontal="left" indent="1"/>
    </xf>
    <xf numFmtId="0" fontId="6" fillId="5" borderId="16" xfId="0" applyFont="1" applyFill="1" applyBorder="1"/>
    <xf numFmtId="0" fontId="4" fillId="5" borderId="16" xfId="0" applyFont="1" applyFill="1" applyBorder="1"/>
    <xf numFmtId="0" fontId="39" fillId="0" borderId="0" xfId="0" applyFont="1" applyAlignment="1">
      <alignment vertical="center" wrapText="1"/>
    </xf>
    <xf numFmtId="0" fontId="39" fillId="0" borderId="0" xfId="0" applyFont="1" applyFill="1" applyBorder="1" applyAlignment="1">
      <alignment vertical="center" wrapText="1"/>
    </xf>
    <xf numFmtId="0" fontId="39" fillId="0" borderId="0" xfId="0" applyFont="1" applyBorder="1" applyAlignment="1">
      <alignment vertical="center" wrapText="1"/>
    </xf>
    <xf numFmtId="166" fontId="36" fillId="0" borderId="0" xfId="2" applyNumberFormat="1" applyFont="1" applyFill="1" applyBorder="1" applyAlignment="1">
      <alignment horizontal="center"/>
    </xf>
    <xf numFmtId="166" fontId="5" fillId="0" borderId="0" xfId="2" applyNumberFormat="1" applyFont="1" applyFill="1" applyBorder="1"/>
    <xf numFmtId="166" fontId="36" fillId="0" borderId="15" xfId="2" applyNumberFormat="1" applyFont="1" applyFill="1" applyBorder="1" applyAlignment="1">
      <alignment horizontal="right"/>
    </xf>
    <xf numFmtId="166" fontId="36" fillId="0" borderId="0" xfId="2" applyNumberFormat="1" applyFont="1" applyFill="1" applyBorder="1"/>
    <xf numFmtId="166" fontId="36" fillId="5" borderId="0" xfId="2" applyNumberFormat="1" applyFont="1" applyFill="1" applyBorder="1" applyAlignment="1">
      <alignment horizontal="center"/>
    </xf>
    <xf numFmtId="166" fontId="35" fillId="4" borderId="0" xfId="2" applyNumberFormat="1" applyFont="1" applyFill="1" applyBorder="1" applyAlignment="1">
      <alignment horizontal="center" vertical="center"/>
    </xf>
    <xf numFmtId="0" fontId="39" fillId="0" borderId="0" xfId="0" applyFont="1" applyAlignment="1">
      <alignment horizontal="left" vertical="center"/>
    </xf>
    <xf numFmtId="9" fontId="37" fillId="5" borderId="8" xfId="3" applyFont="1" applyFill="1" applyBorder="1" applyAlignment="1">
      <alignment vertical="center" wrapText="1"/>
    </xf>
    <xf numFmtId="44" fontId="4" fillId="0" borderId="0" xfId="0" applyNumberFormat="1" applyFont="1" applyFill="1" applyBorder="1" applyAlignment="1">
      <alignment horizontal="center"/>
    </xf>
    <xf numFmtId="166" fontId="4" fillId="0" borderId="0" xfId="3" applyNumberFormat="1" applyFont="1" applyFill="1" applyBorder="1" applyAlignment="1">
      <alignment horizontal="right" vertical="center"/>
    </xf>
    <xf numFmtId="0" fontId="35" fillId="4" borderId="15" xfId="0" applyFont="1" applyFill="1" applyBorder="1" applyAlignment="1">
      <alignment horizontal="right"/>
    </xf>
    <xf numFmtId="0" fontId="69" fillId="0" borderId="0" xfId="0" applyFont="1" applyFill="1" applyAlignment="1">
      <alignment horizontal="center" vertical="center" wrapText="1"/>
    </xf>
    <xf numFmtId="0" fontId="69" fillId="0" borderId="0" xfId="0" applyFont="1" applyFill="1" applyAlignment="1">
      <alignment horizontal="center" vertical="center"/>
    </xf>
    <xf numFmtId="0" fontId="69" fillId="0" borderId="0" xfId="0" applyFont="1" applyFill="1" applyBorder="1" applyAlignment="1">
      <alignment wrapText="1"/>
    </xf>
    <xf numFmtId="0" fontId="69" fillId="0" borderId="0" xfId="0" applyFont="1" applyAlignment="1">
      <alignment wrapText="1"/>
    </xf>
    <xf numFmtId="0" fontId="69" fillId="0" borderId="0" xfId="0" applyFont="1" applyFill="1" applyAlignment="1">
      <alignment wrapText="1"/>
    </xf>
    <xf numFmtId="0" fontId="69" fillId="2" borderId="9" xfId="0" applyFont="1" applyFill="1" applyBorder="1"/>
    <xf numFmtId="0" fontId="69" fillId="0" borderId="0" xfId="0" applyFont="1" applyFill="1" applyAlignment="1"/>
    <xf numFmtId="0" fontId="69" fillId="0" borderId="0" xfId="0" applyFont="1" applyBorder="1" applyAlignment="1">
      <alignment wrapText="1"/>
    </xf>
    <xf numFmtId="0" fontId="69" fillId="0" borderId="0" xfId="0" applyFont="1" applyAlignment="1"/>
    <xf numFmtId="0" fontId="69" fillId="0" borderId="0" xfId="0" applyFont="1" applyFill="1" applyAlignment="1">
      <alignment horizontal="left"/>
    </xf>
    <xf numFmtId="0" fontId="37" fillId="5" borderId="17" xfId="0" applyFont="1" applyFill="1" applyBorder="1" applyAlignment="1">
      <alignment horizontal="left" wrapText="1" indent="1"/>
    </xf>
    <xf numFmtId="44" fontId="36" fillId="0" borderId="0" xfId="0" applyNumberFormat="1" applyFont="1" applyFill="1" applyBorder="1" applyAlignment="1">
      <alignment horizontal="right"/>
    </xf>
    <xf numFmtId="0" fontId="70" fillId="0" borderId="11" xfId="0" applyFont="1" applyFill="1" applyBorder="1" applyAlignment="1">
      <alignment horizontal="right" vertical="center" wrapText="1"/>
    </xf>
    <xf numFmtId="9" fontId="70" fillId="0" borderId="0" xfId="3" applyFont="1" applyFill="1" applyBorder="1" applyAlignment="1">
      <alignment horizontal="right"/>
    </xf>
    <xf numFmtId="0" fontId="70" fillId="0" borderId="0" xfId="0" applyFont="1" applyFill="1" applyBorder="1"/>
    <xf numFmtId="166" fontId="70" fillId="0" borderId="15" xfId="2" applyNumberFormat="1" applyFont="1" applyFill="1" applyBorder="1" applyAlignment="1">
      <alignment horizontal="right"/>
    </xf>
    <xf numFmtId="9" fontId="71" fillId="0" borderId="0" xfId="3" applyFont="1" applyFill="1" applyBorder="1" applyAlignment="1">
      <alignment horizontal="right"/>
    </xf>
    <xf numFmtId="44" fontId="71" fillId="0" borderId="0" xfId="0" applyNumberFormat="1" applyFont="1" applyFill="1" applyBorder="1" applyAlignment="1">
      <alignment horizontal="right"/>
    </xf>
    <xf numFmtId="0" fontId="35" fillId="4" borderId="15" xfId="0" applyFont="1" applyFill="1" applyBorder="1" applyAlignment="1">
      <alignment horizontal="right" wrapText="1"/>
    </xf>
    <xf numFmtId="0" fontId="72" fillId="0" borderId="0" xfId="5" applyFont="1" applyAlignment="1" applyProtection="1"/>
    <xf numFmtId="0" fontId="47" fillId="5" borderId="0" xfId="0" applyFont="1" applyFill="1"/>
    <xf numFmtId="0" fontId="0" fillId="5" borderId="19" xfId="0" applyFill="1" applyBorder="1"/>
    <xf numFmtId="0" fontId="4" fillId="0" borderId="16" xfId="0" applyFont="1" applyFill="1" applyBorder="1"/>
    <xf numFmtId="10" fontId="37" fillId="0" borderId="0" xfId="3" applyNumberFormat="1" applyFont="1" applyFill="1" applyBorder="1" applyAlignment="1">
      <alignment horizontal="right"/>
    </xf>
    <xf numFmtId="0" fontId="45" fillId="0" borderId="0" xfId="0" applyFont="1"/>
    <xf numFmtId="0" fontId="45" fillId="5" borderId="19" xfId="0" applyFont="1" applyFill="1" applyBorder="1"/>
    <xf numFmtId="0" fontId="58" fillId="0" borderId="0" xfId="0" applyFont="1"/>
    <xf numFmtId="0" fontId="45" fillId="0" borderId="0" xfId="0" applyNumberFormat="1" applyFont="1" applyFill="1"/>
    <xf numFmtId="0" fontId="58" fillId="0" borderId="0" xfId="0" applyNumberFormat="1" applyFont="1" applyFill="1"/>
    <xf numFmtId="0" fontId="45" fillId="0" borderId="0" xfId="0" applyFont="1" applyFill="1"/>
    <xf numFmtId="0" fontId="74" fillId="4" borderId="0" xfId="0" applyNumberFormat="1" applyFont="1" applyFill="1"/>
    <xf numFmtId="0" fontId="45" fillId="0" borderId="0" xfId="0" applyNumberFormat="1" applyFont="1" applyFill="1" applyAlignment="1">
      <alignment wrapText="1"/>
    </xf>
    <xf numFmtId="0" fontId="74" fillId="3" borderId="0" xfId="0" applyFont="1" applyFill="1"/>
    <xf numFmtId="165" fontId="45" fillId="0" borderId="0" xfId="3" applyNumberFormat="1" applyFont="1" applyFill="1"/>
    <xf numFmtId="165" fontId="45" fillId="5" borderId="19" xfId="3" applyNumberFormat="1" applyFont="1" applyFill="1" applyBorder="1"/>
    <xf numFmtId="168" fontId="45" fillId="0" borderId="0" xfId="0" applyNumberFormat="1" applyFont="1" applyFill="1"/>
    <xf numFmtId="44" fontId="45" fillId="0" borderId="0" xfId="2" applyFont="1" applyFill="1"/>
    <xf numFmtId="166" fontId="58" fillId="0" borderId="0" xfId="2" applyNumberFormat="1" applyFont="1" applyFill="1"/>
    <xf numFmtId="44" fontId="45" fillId="0" borderId="0" xfId="2" applyNumberFormat="1" applyFont="1" applyFill="1"/>
    <xf numFmtId="10" fontId="45" fillId="0" borderId="0" xfId="3" applyNumberFormat="1" applyFont="1" applyFill="1"/>
    <xf numFmtId="166" fontId="58" fillId="0" borderId="0" xfId="0" applyNumberFormat="1" applyFont="1"/>
    <xf numFmtId="44" fontId="45" fillId="0" borderId="0" xfId="0" applyNumberFormat="1" applyFont="1"/>
    <xf numFmtId="44" fontId="45" fillId="0" borderId="0" xfId="0" applyNumberFormat="1" applyFont="1" applyFill="1"/>
    <xf numFmtId="10" fontId="45" fillId="0" borderId="0" xfId="0" applyNumberFormat="1" applyFont="1" applyFill="1"/>
    <xf numFmtId="44" fontId="58" fillId="0" borderId="0" xfId="0" applyNumberFormat="1" applyFont="1" applyFill="1"/>
    <xf numFmtId="6" fontId="45" fillId="0" borderId="0" xfId="0" applyNumberFormat="1" applyFont="1" applyFill="1"/>
    <xf numFmtId="9" fontId="45" fillId="0" borderId="0" xfId="0" applyNumberFormat="1" applyFont="1" applyFill="1"/>
    <xf numFmtId="44" fontId="74" fillId="4" borderId="0" xfId="0" applyNumberFormat="1" applyFont="1" applyFill="1"/>
    <xf numFmtId="168" fontId="74" fillId="4" borderId="0" xfId="0" applyNumberFormat="1" applyFont="1" applyFill="1"/>
    <xf numFmtId="44" fontId="74" fillId="3" borderId="0" xfId="0" applyNumberFormat="1" applyFont="1" applyFill="1"/>
    <xf numFmtId="0" fontId="24" fillId="0" borderId="0" xfId="0" applyFont="1"/>
    <xf numFmtId="169" fontId="24" fillId="0" borderId="0" xfId="0" applyNumberFormat="1" applyFont="1"/>
    <xf numFmtId="0" fontId="24" fillId="0" borderId="0" xfId="0" applyFont="1" applyFill="1"/>
    <xf numFmtId="168" fontId="24" fillId="0" borderId="0" xfId="0" applyNumberFormat="1" applyFont="1"/>
    <xf numFmtId="44" fontId="24" fillId="0" borderId="0" xfId="0" applyNumberFormat="1" applyFont="1"/>
    <xf numFmtId="44" fontId="77" fillId="0" borderId="0" xfId="0" applyNumberFormat="1" applyFont="1"/>
    <xf numFmtId="0" fontId="78" fillId="0" borderId="0" xfId="0" applyFont="1" applyAlignment="1">
      <alignment wrapText="1"/>
    </xf>
    <xf numFmtId="0" fontId="45" fillId="0" borderId="0" xfId="0" applyFont="1" applyFill="1" applyBorder="1"/>
    <xf numFmtId="165" fontId="45" fillId="0" borderId="0" xfId="3" applyNumberFormat="1" applyFont="1" applyFill="1" applyBorder="1"/>
    <xf numFmtId="2" fontId="45" fillId="0" borderId="0" xfId="3" applyNumberFormat="1" applyFont="1" applyFill="1" applyBorder="1"/>
    <xf numFmtId="169" fontId="45" fillId="0" borderId="0" xfId="0" applyNumberFormat="1" applyFont="1"/>
    <xf numFmtId="44" fontId="45" fillId="0" borderId="0" xfId="2" applyFont="1"/>
    <xf numFmtId="0" fontId="0" fillId="0" borderId="0" xfId="0" applyAlignment="1">
      <alignment horizontal="center" wrapText="1"/>
    </xf>
    <xf numFmtId="2" fontId="45" fillId="0" borderId="0" xfId="0" applyNumberFormat="1" applyFont="1" applyFill="1" applyBorder="1"/>
    <xf numFmtId="0" fontId="39" fillId="0" borderId="20" xfId="0" applyFont="1" applyBorder="1" applyAlignment="1">
      <alignment horizontal="left" indent="1"/>
    </xf>
    <xf numFmtId="0" fontId="5" fillId="0" borderId="21" xfId="0" applyFont="1" applyBorder="1" applyAlignment="1"/>
    <xf numFmtId="9" fontId="5" fillId="0" borderId="22" xfId="0" applyNumberFormat="1" applyFont="1" applyBorder="1" applyAlignment="1"/>
    <xf numFmtId="9" fontId="4" fillId="5" borderId="23" xfId="0" applyNumberFormat="1" applyFont="1" applyFill="1" applyBorder="1" applyAlignment="1"/>
    <xf numFmtId="9" fontId="4" fillId="5" borderId="24" xfId="0" applyNumberFormat="1" applyFont="1" applyFill="1" applyBorder="1" applyAlignment="1"/>
    <xf numFmtId="9" fontId="4" fillId="5" borderId="25" xfId="0" applyNumberFormat="1" applyFont="1" applyFill="1" applyBorder="1" applyAlignment="1"/>
    <xf numFmtId="0" fontId="73" fillId="0" borderId="0" xfId="0" applyFont="1" applyFill="1"/>
    <xf numFmtId="0" fontId="74" fillId="0" borderId="0" xfId="0" applyFont="1" applyFill="1"/>
    <xf numFmtId="44" fontId="74" fillId="0" borderId="0" xfId="0" applyNumberFormat="1" applyFont="1" applyFill="1"/>
    <xf numFmtId="0" fontId="75" fillId="0" borderId="0" xfId="0" applyFont="1" applyFill="1" applyBorder="1" applyAlignment="1"/>
    <xf numFmtId="0" fontId="75" fillId="0" borderId="0" xfId="0" applyFont="1" applyFill="1" applyBorder="1" applyAlignment="1">
      <alignment wrapText="1"/>
    </xf>
    <xf numFmtId="0" fontId="45" fillId="0" borderId="0" xfId="0" applyFont="1" applyFill="1" applyBorder="1" applyAlignment="1">
      <alignment horizontal="left" indent="1"/>
    </xf>
    <xf numFmtId="9" fontId="45" fillId="0" borderId="0" xfId="0" applyNumberFormat="1" applyFont="1" applyFill="1" applyBorder="1" applyAlignment="1">
      <alignment horizontal="left" indent="1"/>
    </xf>
    <xf numFmtId="169" fontId="76" fillId="0" borderId="0" xfId="0" applyNumberFormat="1" applyFont="1" applyFill="1" applyBorder="1"/>
    <xf numFmtId="9" fontId="76" fillId="0" borderId="0" xfId="0" applyNumberFormat="1" applyFont="1" applyFill="1" applyBorder="1"/>
    <xf numFmtId="172" fontId="45" fillId="0" borderId="0" xfId="0" applyNumberFormat="1" applyFont="1" applyFill="1" applyBorder="1" applyAlignment="1">
      <alignment horizontal="left" indent="1"/>
    </xf>
    <xf numFmtId="0" fontId="45" fillId="0" borderId="0" xfId="0" applyNumberFormat="1" applyFont="1" applyFill="1" applyBorder="1"/>
    <xf numFmtId="0" fontId="24" fillId="0" borderId="0" xfId="0" applyFont="1" applyFill="1" applyBorder="1"/>
    <xf numFmtId="171" fontId="75" fillId="0" borderId="0" xfId="0" applyNumberFormat="1" applyFont="1" applyFill="1" applyBorder="1"/>
    <xf numFmtId="169" fontId="75" fillId="0" borderId="0" xfId="0" applyNumberFormat="1" applyFont="1" applyFill="1" applyBorder="1"/>
    <xf numFmtId="1" fontId="45" fillId="0" borderId="0" xfId="0" applyNumberFormat="1" applyFont="1" applyFill="1" applyBorder="1"/>
    <xf numFmtId="1" fontId="24" fillId="0" borderId="0" xfId="0" applyNumberFormat="1" applyFont="1" applyFill="1" applyBorder="1"/>
    <xf numFmtId="0" fontId="45" fillId="0" borderId="0" xfId="0" applyFont="1" applyFill="1" applyBorder="1" applyAlignment="1">
      <alignment horizontal="center"/>
    </xf>
    <xf numFmtId="168" fontId="24" fillId="0" borderId="0" xfId="0" applyNumberFormat="1" applyFont="1" applyFill="1" applyBorder="1"/>
    <xf numFmtId="0" fontId="73" fillId="5" borderId="9" xfId="0" applyFont="1" applyFill="1" applyBorder="1"/>
    <xf numFmtId="0" fontId="75" fillId="5" borderId="9" xfId="0" applyFont="1" applyFill="1" applyBorder="1"/>
    <xf numFmtId="44" fontId="74" fillId="5" borderId="9" xfId="0" applyNumberFormat="1" applyFont="1" applyFill="1" applyBorder="1"/>
    <xf numFmtId="0" fontId="24" fillId="0" borderId="0" xfId="0" applyFont="1" applyAlignment="1">
      <alignment horizontal="center"/>
    </xf>
    <xf numFmtId="0" fontId="0" fillId="0" borderId="0" xfId="0" applyAlignment="1">
      <alignment horizontal="center"/>
    </xf>
    <xf numFmtId="0" fontId="24" fillId="0" borderId="0" xfId="0" applyFont="1" applyFill="1" applyAlignment="1">
      <alignment horizontal="center"/>
    </xf>
    <xf numFmtId="169" fontId="24" fillId="0" borderId="0" xfId="0" applyNumberFormat="1" applyFont="1" applyAlignment="1">
      <alignment horizontal="center"/>
    </xf>
    <xf numFmtId="0" fontId="24" fillId="0" borderId="0" xfId="0" applyFont="1" applyFill="1" applyBorder="1" applyAlignment="1">
      <alignment horizontal="center"/>
    </xf>
    <xf numFmtId="0" fontId="0" fillId="0" borderId="0" xfId="0" applyFill="1" applyBorder="1" applyAlignment="1">
      <alignment horizontal="center"/>
    </xf>
    <xf numFmtId="2" fontId="0" fillId="0" borderId="0" xfId="0" applyNumberFormat="1" applyFill="1" applyBorder="1" applyAlignment="1">
      <alignment horizontal="center"/>
    </xf>
    <xf numFmtId="0" fontId="24" fillId="0" borderId="0" xfId="0" applyFont="1" applyAlignment="1">
      <alignment horizontal="center" wrapText="1"/>
    </xf>
    <xf numFmtId="168" fontId="24" fillId="0" borderId="0" xfId="0" applyNumberFormat="1" applyFont="1" applyAlignment="1">
      <alignment horizontal="center"/>
    </xf>
    <xf numFmtId="168" fontId="0" fillId="0" borderId="0" xfId="0" applyNumberFormat="1" applyAlignment="1">
      <alignment horizontal="center"/>
    </xf>
    <xf numFmtId="168" fontId="24" fillId="0" borderId="0" xfId="0" applyNumberFormat="1" applyFont="1" applyFill="1" applyAlignment="1">
      <alignment horizontal="center"/>
    </xf>
    <xf numFmtId="168" fontId="0" fillId="0" borderId="0" xfId="0" applyNumberFormat="1" applyFill="1" applyAlignment="1">
      <alignment horizontal="center"/>
    </xf>
    <xf numFmtId="1" fontId="24" fillId="0" borderId="0" xfId="0" applyNumberFormat="1" applyFont="1" applyAlignment="1">
      <alignment horizontal="center"/>
    </xf>
    <xf numFmtId="0" fontId="13" fillId="0" borderId="0" xfId="0" applyFont="1" applyAlignment="1">
      <alignment horizontal="center"/>
    </xf>
    <xf numFmtId="0" fontId="13" fillId="5" borderId="9" xfId="0" applyFont="1" applyFill="1" applyBorder="1" applyAlignment="1">
      <alignment horizontal="center" wrapText="1"/>
    </xf>
    <xf numFmtId="3" fontId="13" fillId="7" borderId="0" xfId="0" applyNumberFormat="1" applyFont="1" applyFill="1"/>
    <xf numFmtId="168" fontId="13" fillId="7" borderId="0" xfId="0" applyNumberFormat="1" applyFont="1" applyFill="1"/>
    <xf numFmtId="167" fontId="13" fillId="7" borderId="0" xfId="0" applyNumberFormat="1" applyFont="1" applyFill="1"/>
    <xf numFmtId="164" fontId="0" fillId="0" borderId="0" xfId="1" applyNumberFormat="1" applyFont="1" applyAlignment="1">
      <alignment horizontal="center"/>
    </xf>
    <xf numFmtId="164" fontId="24" fillId="0" borderId="0" xfId="1" applyNumberFormat="1" applyFont="1" applyAlignment="1">
      <alignment horizontal="center"/>
    </xf>
    <xf numFmtId="164" fontId="24" fillId="8" borderId="0" xfId="1" applyNumberFormat="1" applyFont="1" applyFill="1" applyAlignment="1">
      <alignment horizontal="center"/>
    </xf>
    <xf numFmtId="0" fontId="36" fillId="0" borderId="0" xfId="0" applyFont="1" applyBorder="1" applyAlignment="1">
      <alignment horizontal="right" wrapText="1"/>
    </xf>
    <xf numFmtId="0" fontId="4" fillId="5" borderId="16" xfId="0" applyFont="1" applyFill="1" applyBorder="1" applyAlignment="1">
      <alignment horizontal="right"/>
    </xf>
    <xf numFmtId="166" fontId="4" fillId="5" borderId="16" xfId="2" applyNumberFormat="1" applyFont="1" applyFill="1" applyBorder="1" applyAlignment="1">
      <alignment horizontal="center"/>
    </xf>
    <xf numFmtId="38" fontId="37" fillId="0" borderId="0" xfId="0" applyNumberFormat="1" applyFont="1" applyAlignment="1">
      <alignment horizontal="right"/>
    </xf>
    <xf numFmtId="9" fontId="37" fillId="0" borderId="0" xfId="3" applyNumberFormat="1" applyFont="1"/>
    <xf numFmtId="0" fontId="39" fillId="0" borderId="0" xfId="0" applyFont="1" applyFill="1"/>
    <xf numFmtId="9" fontId="37" fillId="0" borderId="0" xfId="3" applyNumberFormat="1" applyFont="1" applyAlignment="1">
      <alignment horizontal="center"/>
    </xf>
    <xf numFmtId="0" fontId="5" fillId="6" borderId="0" xfId="0" applyFont="1" applyFill="1" applyAlignment="1">
      <alignment horizontal="center"/>
    </xf>
    <xf numFmtId="166" fontId="4" fillId="6" borderId="0" xfId="2" applyNumberFormat="1" applyFont="1" applyFill="1" applyAlignment="1">
      <alignment horizontal="center"/>
    </xf>
    <xf numFmtId="166" fontId="4" fillId="6" borderId="16" xfId="2" applyNumberFormat="1" applyFont="1" applyFill="1" applyBorder="1" applyAlignment="1">
      <alignment horizontal="center"/>
    </xf>
    <xf numFmtId="37" fontId="4" fillId="6" borderId="0" xfId="2" applyNumberFormat="1" applyFont="1" applyFill="1" applyAlignment="1">
      <alignment horizontal="center"/>
    </xf>
    <xf numFmtId="37" fontId="4" fillId="6" borderId="16" xfId="2" applyNumberFormat="1" applyFont="1" applyFill="1" applyBorder="1" applyAlignment="1">
      <alignment horizontal="center"/>
    </xf>
    <xf numFmtId="37" fontId="4" fillId="5" borderId="16" xfId="2" applyNumberFormat="1" applyFont="1" applyFill="1" applyBorder="1" applyAlignment="1">
      <alignment horizontal="center"/>
    </xf>
    <xf numFmtId="44" fontId="37" fillId="0" borderId="0" xfId="0" applyNumberFormat="1" applyFont="1" applyFill="1" applyBorder="1" applyAlignment="1">
      <alignment horizontal="center"/>
    </xf>
    <xf numFmtId="165" fontId="37" fillId="0" borderId="0" xfId="3" applyNumberFormat="1" applyFont="1" applyFill="1" applyBorder="1" applyAlignment="1">
      <alignment horizontal="right"/>
    </xf>
    <xf numFmtId="0" fontId="51" fillId="0" borderId="0" xfId="0" applyFont="1" applyFill="1" applyAlignment="1">
      <alignment vertical="top" wrapText="1"/>
    </xf>
    <xf numFmtId="0" fontId="55" fillId="0" borderId="0" xfId="0" applyFont="1" applyAlignment="1">
      <alignment horizontal="left" wrapText="1"/>
    </xf>
    <xf numFmtId="166" fontId="0" fillId="0" borderId="0" xfId="2" applyNumberFormat="1" applyFont="1" applyAlignment="1">
      <alignment horizontal="center"/>
    </xf>
    <xf numFmtId="166" fontId="0" fillId="8" borderId="0" xfId="2" applyNumberFormat="1" applyFont="1" applyFill="1" applyAlignment="1">
      <alignment horizontal="center"/>
    </xf>
    <xf numFmtId="0" fontId="61" fillId="0" borderId="0" xfId="5" applyFont="1" applyFill="1" applyBorder="1" applyAlignment="1" applyProtection="1">
      <alignment horizontal="center" vertical="center"/>
    </xf>
    <xf numFmtId="44" fontId="33" fillId="2" borderId="0" xfId="0" applyNumberFormat="1" applyFont="1" applyFill="1" applyAlignment="1"/>
    <xf numFmtId="2" fontId="7" fillId="0" borderId="0" xfId="2" applyNumberFormat="1" applyFont="1" applyFill="1" applyBorder="1" applyAlignment="1">
      <alignment wrapText="1"/>
    </xf>
    <xf numFmtId="9" fontId="7" fillId="0" borderId="0" xfId="3" applyFont="1" applyFill="1" applyBorder="1" applyAlignment="1">
      <alignment wrapText="1"/>
    </xf>
    <xf numFmtId="3" fontId="39" fillId="0" borderId="11" xfId="0" applyNumberFormat="1" applyFont="1" applyFill="1" applyBorder="1" applyAlignment="1">
      <alignment horizontal="right"/>
    </xf>
    <xf numFmtId="0" fontId="39" fillId="0" borderId="11" xfId="0" applyFont="1" applyBorder="1" applyAlignment="1">
      <alignment horizontal="right" wrapText="1"/>
    </xf>
    <xf numFmtId="0" fontId="36" fillId="6" borderId="0" xfId="0" applyFont="1" applyFill="1" applyBorder="1" applyAlignment="1">
      <alignment horizontal="center"/>
    </xf>
    <xf numFmtId="166" fontId="36" fillId="0" borderId="0" xfId="0" applyNumberFormat="1" applyFont="1" applyBorder="1" applyAlignment="1">
      <alignment vertical="top"/>
    </xf>
    <xf numFmtId="0" fontId="36" fillId="0" borderId="0" xfId="0" applyFont="1" applyBorder="1" applyAlignment="1">
      <alignment horizontal="right" vertical="top"/>
    </xf>
    <xf numFmtId="37" fontId="36" fillId="0" borderId="0" xfId="0" applyNumberFormat="1" applyFont="1" applyBorder="1" applyAlignment="1">
      <alignment horizontal="center" vertical="top"/>
    </xf>
    <xf numFmtId="0" fontId="4" fillId="0" borderId="19" xfId="0" applyFont="1" applyBorder="1" applyAlignment="1">
      <alignment horizontal="right"/>
    </xf>
    <xf numFmtId="166" fontId="4" fillId="0" borderId="19" xfId="2" applyNumberFormat="1" applyFont="1" applyBorder="1" applyAlignment="1">
      <alignment horizontal="center"/>
    </xf>
    <xf numFmtId="0" fontId="4" fillId="0" borderId="19" xfId="0" applyFont="1" applyFill="1" applyBorder="1"/>
    <xf numFmtId="0" fontId="5" fillId="6" borderId="0" xfId="0" applyFont="1" applyFill="1" applyBorder="1" applyAlignment="1">
      <alignment horizontal="center"/>
    </xf>
    <xf numFmtId="166" fontId="4" fillId="6" borderId="0" xfId="2" applyNumberFormat="1" applyFont="1" applyFill="1" applyBorder="1" applyAlignment="1">
      <alignment horizontal="center"/>
    </xf>
    <xf numFmtId="166" fontId="4" fillId="6" borderId="19" xfId="2" applyNumberFormat="1" applyFont="1" applyFill="1" applyBorder="1" applyAlignment="1">
      <alignment horizontal="center"/>
    </xf>
    <xf numFmtId="166" fontId="4" fillId="6" borderId="0" xfId="0" applyNumberFormat="1" applyFont="1" applyFill="1" applyBorder="1"/>
    <xf numFmtId="0" fontId="36" fillId="0" borderId="11" xfId="0" applyFont="1" applyFill="1" applyBorder="1" applyAlignment="1">
      <alignment horizontal="right" vertical="center"/>
    </xf>
    <xf numFmtId="37" fontId="4" fillId="0" borderId="0" xfId="0" applyNumberFormat="1" applyFont="1" applyFill="1"/>
    <xf numFmtId="1" fontId="4" fillId="0" borderId="0" xfId="0" applyNumberFormat="1" applyFont="1" applyFill="1"/>
    <xf numFmtId="0" fontId="5" fillId="5" borderId="0" xfId="0" applyFont="1" applyFill="1" applyAlignment="1">
      <alignment horizontal="center"/>
    </xf>
    <xf numFmtId="0" fontId="37" fillId="5" borderId="0" xfId="0" applyFont="1" applyFill="1" applyAlignment="1"/>
    <xf numFmtId="0" fontId="5" fillId="0" borderId="0" xfId="0" applyFont="1" applyFill="1" applyAlignment="1">
      <alignment horizontal="center" vertical="center"/>
    </xf>
    <xf numFmtId="0" fontId="39" fillId="0" borderId="0" xfId="0" applyFont="1" applyBorder="1" applyAlignment="1">
      <alignment horizontal="left" wrapText="1"/>
    </xf>
    <xf numFmtId="0" fontId="60" fillId="0" borderId="0" xfId="5" applyFont="1" applyAlignment="1" applyProtection="1">
      <alignment horizontal="center"/>
    </xf>
    <xf numFmtId="0" fontId="4" fillId="0" borderId="0" xfId="0" applyFont="1" applyFill="1" applyAlignment="1">
      <alignment horizontal="center"/>
    </xf>
    <xf numFmtId="0" fontId="4" fillId="0" borderId="0" xfId="0" applyFont="1" applyBorder="1" applyAlignment="1">
      <alignment horizontal="center"/>
    </xf>
    <xf numFmtId="0" fontId="4" fillId="0" borderId="0" xfId="0" applyFont="1" applyFill="1" applyAlignment="1">
      <alignment horizontal="center" wrapText="1"/>
    </xf>
    <xf numFmtId="0" fontId="39" fillId="0" borderId="0" xfId="0" applyFont="1" applyFill="1" applyBorder="1" applyAlignment="1">
      <alignment horizontal="left" wrapText="1"/>
    </xf>
    <xf numFmtId="0" fontId="4" fillId="0" borderId="19" xfId="0" applyFont="1" applyBorder="1" applyAlignment="1"/>
    <xf numFmtId="0" fontId="39" fillId="0" borderId="19" xfId="0" applyFont="1" applyBorder="1" applyAlignment="1">
      <alignment wrapText="1"/>
    </xf>
    <xf numFmtId="0" fontId="35" fillId="9" borderId="19" xfId="0" applyFont="1" applyFill="1" applyBorder="1" applyAlignment="1">
      <alignment wrapText="1"/>
    </xf>
    <xf numFmtId="9" fontId="39" fillId="5" borderId="0" xfId="3" applyFont="1" applyFill="1" applyAlignment="1"/>
    <xf numFmtId="0" fontId="39" fillId="5" borderId="0" xfId="0" applyFont="1" applyFill="1" applyAlignment="1"/>
    <xf numFmtId="166" fontId="39" fillId="5" borderId="15" xfId="2" applyNumberFormat="1" applyFont="1" applyFill="1" applyBorder="1" applyAlignment="1">
      <alignment horizontal="right"/>
    </xf>
    <xf numFmtId="10" fontId="37" fillId="0" borderId="0" xfId="3" applyNumberFormat="1" applyFont="1" applyFill="1" applyBorder="1" applyAlignment="1"/>
    <xf numFmtId="9" fontId="37" fillId="5" borderId="6" xfId="3" applyNumberFormat="1" applyFont="1" applyFill="1" applyBorder="1" applyAlignment="1"/>
    <xf numFmtId="10" fontId="37" fillId="5" borderId="5" xfId="3" applyNumberFormat="1" applyFont="1" applyFill="1" applyBorder="1" applyAlignment="1"/>
    <xf numFmtId="10" fontId="37" fillId="0" borderId="18" xfId="3" applyNumberFormat="1" applyFont="1" applyFill="1" applyBorder="1" applyAlignment="1">
      <alignment vertical="center" wrapText="1"/>
    </xf>
    <xf numFmtId="44" fontId="24" fillId="0" borderId="0" xfId="0" applyNumberFormat="1" applyFont="1" applyAlignment="1">
      <alignment horizontal="center" wrapText="1"/>
    </xf>
    <xf numFmtId="165" fontId="39" fillId="0" borderId="31" xfId="0" applyNumberFormat="1" applyFont="1" applyFill="1" applyBorder="1" applyAlignment="1">
      <alignment horizontal="left" wrapText="1"/>
    </xf>
    <xf numFmtId="165" fontId="39" fillId="0" borderId="32" xfId="0" applyNumberFormat="1" applyFont="1" applyFill="1" applyBorder="1" applyAlignment="1">
      <alignment horizontal="left" wrapText="1"/>
    </xf>
    <xf numFmtId="0" fontId="36" fillId="2" borderId="35" xfId="0" applyFont="1" applyFill="1" applyBorder="1" applyAlignment="1">
      <alignment vertical="center"/>
    </xf>
    <xf numFmtId="0" fontId="39" fillId="2" borderId="35" xfId="0" applyFont="1" applyFill="1" applyBorder="1" applyAlignment="1">
      <alignment horizontal="left"/>
    </xf>
    <xf numFmtId="0" fontId="39" fillId="0" borderId="35" xfId="0" applyFont="1" applyFill="1" applyBorder="1" applyAlignment="1">
      <alignment horizontal="left"/>
    </xf>
    <xf numFmtId="0" fontId="82" fillId="2" borderId="0" xfId="5" applyFont="1" applyFill="1" applyBorder="1" applyAlignment="1" applyProtection="1">
      <alignment vertical="center"/>
    </xf>
    <xf numFmtId="44" fontId="37" fillId="0" borderId="0" xfId="2" applyNumberFormat="1" applyFont="1" applyFill="1" applyAlignment="1"/>
    <xf numFmtId="6" fontId="37" fillId="0" borderId="0" xfId="0" applyNumberFormat="1" applyFont="1" applyFill="1" applyBorder="1" applyAlignment="1"/>
    <xf numFmtId="10" fontId="37" fillId="5" borderId="5" xfId="3" applyNumberFormat="1" applyFont="1" applyFill="1" applyBorder="1" applyAlignment="1">
      <alignment horizontal="right"/>
    </xf>
    <xf numFmtId="44" fontId="3" fillId="0" borderId="0" xfId="0" applyNumberFormat="1" applyFont="1" applyFill="1" applyAlignment="1">
      <alignment horizontal="center" vertical="center"/>
    </xf>
    <xf numFmtId="0" fontId="37" fillId="0" borderId="37" xfId="0" applyFont="1" applyFill="1" applyBorder="1" applyAlignment="1">
      <alignment horizontal="left" wrapText="1"/>
    </xf>
    <xf numFmtId="0" fontId="37" fillId="0" borderId="38" xfId="0" applyFont="1" applyFill="1" applyBorder="1" applyAlignment="1">
      <alignment horizontal="left" wrapText="1"/>
    </xf>
    <xf numFmtId="6" fontId="39" fillId="0" borderId="40" xfId="0" applyNumberFormat="1" applyFont="1" applyFill="1" applyBorder="1" applyAlignment="1">
      <alignment horizontal="left" wrapText="1"/>
    </xf>
    <xf numFmtId="173" fontId="39" fillId="0" borderId="40" xfId="0" applyNumberFormat="1" applyFont="1" applyFill="1" applyBorder="1" applyAlignment="1">
      <alignment horizontal="left" wrapText="1"/>
    </xf>
    <xf numFmtId="165" fontId="37" fillId="0" borderId="0" xfId="0" applyNumberFormat="1" applyFont="1" applyFill="1" applyAlignment="1">
      <alignment wrapText="1"/>
    </xf>
    <xf numFmtId="0" fontId="5" fillId="0" borderId="0" xfId="0" applyFont="1" applyFill="1" applyAlignment="1">
      <alignment horizontal="center" wrapText="1"/>
    </xf>
    <xf numFmtId="0" fontId="83" fillId="0" borderId="0" xfId="5" applyFont="1" applyFill="1" applyAlignment="1" applyProtection="1">
      <alignment horizontal="center" vertical="center" wrapText="1"/>
    </xf>
    <xf numFmtId="0" fontId="83" fillId="0" borderId="0" xfId="5" applyFont="1" applyFill="1" applyAlignment="1" applyProtection="1">
      <alignment horizontal="center"/>
    </xf>
    <xf numFmtId="0" fontId="83" fillId="0" borderId="0" xfId="5" applyFont="1" applyAlignment="1" applyProtection="1">
      <alignment horizontal="center"/>
    </xf>
    <xf numFmtId="0" fontId="84" fillId="0" borderId="39" xfId="0" applyFont="1" applyFill="1" applyBorder="1" applyAlignment="1">
      <alignment horizontal="left" wrapText="1"/>
    </xf>
    <xf numFmtId="165" fontId="84" fillId="5" borderId="33" xfId="0" applyNumberFormat="1" applyFont="1" applyFill="1" applyBorder="1" applyAlignment="1">
      <alignment horizontal="left" wrapText="1"/>
    </xf>
    <xf numFmtId="173" fontId="84" fillId="5" borderId="34" xfId="0" applyNumberFormat="1" applyFont="1" applyFill="1" applyBorder="1" applyAlignment="1">
      <alignment horizontal="left" wrapText="1"/>
    </xf>
    <xf numFmtId="173" fontId="84" fillId="5" borderId="42" xfId="0" applyNumberFormat="1" applyFont="1" applyFill="1" applyBorder="1" applyAlignment="1">
      <alignment horizontal="left" wrapText="1"/>
    </xf>
    <xf numFmtId="0" fontId="39" fillId="0" borderId="36" xfId="0" applyFont="1" applyFill="1" applyBorder="1" applyAlignment="1">
      <alignment vertical="center" wrapText="1"/>
    </xf>
    <xf numFmtId="168" fontId="24" fillId="0" borderId="0" xfId="0" applyNumberFormat="1" applyFont="1" applyFill="1"/>
    <xf numFmtId="174" fontId="84" fillId="5" borderId="41" xfId="0" applyNumberFormat="1" applyFont="1" applyFill="1" applyBorder="1" applyAlignment="1">
      <alignment horizontal="left" wrapText="1"/>
    </xf>
    <xf numFmtId="0" fontId="52" fillId="0" borderId="0" xfId="0" applyFont="1" applyBorder="1" applyAlignment="1">
      <alignment horizontal="left" wrapText="1"/>
    </xf>
    <xf numFmtId="0" fontId="53" fillId="0" borderId="0" xfId="5" applyFont="1" applyAlignment="1" applyProtection="1">
      <alignment horizontal="left" wrapText="1"/>
    </xf>
    <xf numFmtId="0" fontId="55" fillId="0" borderId="0" xfId="0" applyFont="1" applyAlignment="1">
      <alignment horizontal="left" wrapText="1"/>
    </xf>
    <xf numFmtId="0" fontId="80" fillId="0" borderId="0" xfId="5" applyFont="1" applyAlignment="1" applyProtection="1"/>
    <xf numFmtId="0" fontId="79" fillId="0" borderId="0" xfId="0" applyFont="1" applyAlignment="1">
      <alignment horizontal="left" wrapText="1"/>
    </xf>
    <xf numFmtId="0" fontId="53" fillId="0" borderId="4" xfId="5" applyFont="1" applyBorder="1" applyAlignment="1" applyProtection="1">
      <alignment horizontal="left" wrapText="1"/>
    </xf>
    <xf numFmtId="0" fontId="1" fillId="0" borderId="0" xfId="4" applyNumberFormat="1" applyFont="1" applyFill="1" applyBorder="1" applyAlignment="1">
      <alignment horizontal="center" vertical="center"/>
    </xf>
    <xf numFmtId="0" fontId="27" fillId="0" borderId="0" xfId="4" applyNumberFormat="1" applyFont="1" applyFill="1" applyBorder="1" applyAlignment="1">
      <alignment horizontal="left" vertical="top" wrapText="1"/>
    </xf>
    <xf numFmtId="0" fontId="80" fillId="0" borderId="0" xfId="5" applyFont="1" applyAlignment="1" applyProtection="1">
      <alignment horizontal="left" wrapText="1"/>
    </xf>
    <xf numFmtId="0" fontId="80" fillId="0" borderId="4" xfId="5" applyFont="1" applyBorder="1" applyAlignment="1" applyProtection="1">
      <alignment horizontal="left" wrapText="1"/>
    </xf>
    <xf numFmtId="0" fontId="37" fillId="0" borderId="0" xfId="0" applyFont="1" applyAlignment="1">
      <alignment horizontal="center" wrapText="1"/>
    </xf>
    <xf numFmtId="0" fontId="4" fillId="0" borderId="10" xfId="0" applyFont="1" applyFill="1" applyBorder="1" applyAlignment="1">
      <alignment horizontal="left"/>
    </xf>
    <xf numFmtId="0" fontId="4" fillId="0" borderId="0" xfId="0" applyFont="1" applyAlignment="1">
      <alignment horizontal="left" wrapText="1"/>
    </xf>
    <xf numFmtId="0" fontId="4" fillId="0" borderId="0" xfId="0" applyFont="1" applyFill="1" applyBorder="1" applyAlignment="1">
      <alignment horizontal="left"/>
    </xf>
    <xf numFmtId="0" fontId="35" fillId="4" borderId="16" xfId="0" applyFont="1" applyFill="1" applyBorder="1" applyAlignment="1">
      <alignment horizontal="center"/>
    </xf>
    <xf numFmtId="0" fontId="35" fillId="4" borderId="19" xfId="0" applyFont="1" applyFill="1" applyBorder="1" applyAlignment="1">
      <alignment horizontal="center"/>
    </xf>
    <xf numFmtId="0" fontId="39" fillId="0" borderId="0" xfId="0" applyFont="1" applyBorder="1" applyAlignment="1">
      <alignment horizontal="left" wrapText="1"/>
    </xf>
    <xf numFmtId="0" fontId="39" fillId="0" borderId="0" xfId="0" applyFont="1" applyFill="1" applyBorder="1" applyAlignment="1">
      <alignment horizontal="left" wrapText="1"/>
    </xf>
    <xf numFmtId="0" fontId="5" fillId="0" borderId="26" xfId="0" applyFont="1" applyFill="1" applyBorder="1" applyAlignment="1">
      <alignment horizontal="left"/>
    </xf>
    <xf numFmtId="0" fontId="5" fillId="0" borderId="27" xfId="0" applyFont="1" applyFill="1" applyBorder="1" applyAlignment="1">
      <alignment horizontal="left"/>
    </xf>
    <xf numFmtId="0" fontId="5" fillId="0" borderId="28" xfId="0" applyFont="1" applyFill="1" applyBorder="1" applyAlignment="1">
      <alignment horizontal="left"/>
    </xf>
    <xf numFmtId="0" fontId="39" fillId="0" borderId="0" xfId="0" applyFont="1" applyAlignment="1">
      <alignment horizontal="left"/>
    </xf>
    <xf numFmtId="0" fontId="39" fillId="0" borderId="29" xfId="0" applyFont="1" applyFill="1" applyBorder="1" applyAlignment="1">
      <alignment horizontal="center" wrapText="1"/>
    </xf>
    <xf numFmtId="0" fontId="39" fillId="0" borderId="30" xfId="0" applyFont="1" applyFill="1" applyBorder="1" applyAlignment="1">
      <alignment horizontal="center" wrapText="1"/>
    </xf>
    <xf numFmtId="0" fontId="35" fillId="4" borderId="0" xfId="0" applyFont="1" applyFill="1" applyBorder="1" applyAlignment="1">
      <alignment horizontal="left" wrapText="1"/>
    </xf>
    <xf numFmtId="0" fontId="39" fillId="0" borderId="36"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5" fillId="0" borderId="0" xfId="0" applyFont="1" applyFill="1" applyAlignment="1">
      <alignment horizontal="center" vertical="center"/>
    </xf>
    <xf numFmtId="0" fontId="39" fillId="0" borderId="0" xfId="0" applyFont="1" applyFill="1" applyAlignment="1">
      <alignment horizontal="center"/>
    </xf>
    <xf numFmtId="0" fontId="37" fillId="0" borderId="0" xfId="0" applyFont="1" applyFill="1" applyAlignment="1">
      <alignment horizontal="center" vertical="center"/>
    </xf>
    <xf numFmtId="0" fontId="37" fillId="0" borderId="0" xfId="0" applyFont="1" applyFill="1" applyAlignment="1">
      <alignment horizontal="center"/>
    </xf>
  </cellXfs>
  <cellStyles count="8">
    <cellStyle name="Comma" xfId="1" builtinId="3"/>
    <cellStyle name="Currency" xfId="2" builtinId="4"/>
    <cellStyle name="Followed Hyperlink" xfId="6" builtinId="9" hidden="1"/>
    <cellStyle name="Followed Hyperlink" xfId="7" builtinId="9" hidden="1"/>
    <cellStyle name="Hyperlink" xfId="5" builtinId="8"/>
    <cellStyle name="Normal" xfId="0" builtinId="0"/>
    <cellStyle name="Normal 2" xfId="4" xr:uid="{00000000-0005-0000-0000-000006000000}"/>
    <cellStyle name="Percent" xfId="3" builtinId="5"/>
  </cellStyles>
  <dxfs count="0"/>
  <tableStyles count="0" defaultTableStyle="TableStyleMedium9" defaultPivotStyle="PivotStyleMedium7"/>
  <colors>
    <mruColors>
      <color rgb="FF87D08E"/>
      <color rgb="FF00C3FF"/>
      <color rgb="FFFFEEDD"/>
      <color rgb="FFFF40FF"/>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Chart 3a: Impact of Payment Frictions</a:t>
            </a:r>
          </a:p>
          <a:p>
            <a:pPr>
              <a:defRPr b="1"/>
            </a:pPr>
            <a:r>
              <a:rPr lang="en-US" b="1"/>
              <a:t>on Annual Revenue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Current Business Model</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'A2. BASE MODEL'!$B$4:$D$4</c:f>
              <c:strCache>
                <c:ptCount val="3"/>
                <c:pt idx="0">
                  <c:v>Year 1</c:v>
                </c:pt>
                <c:pt idx="1">
                  <c:v>Year 2</c:v>
                </c:pt>
                <c:pt idx="2">
                  <c:v>Year 3</c:v>
                </c:pt>
              </c:strCache>
            </c:strRef>
          </c:cat>
          <c:val>
            <c:numRef>
              <c:f>'A2. BASE MODEL'!$B$5:$D$5</c:f>
              <c:numCache>
                <c:formatCode>_("$"* #,##0_);_("$"* \(#,##0\);_("$"* "-"??_);_(@_)</c:formatCode>
                <c:ptCount val="3"/>
                <c:pt idx="0">
                  <c:v>9861521.5767582022</c:v>
                </c:pt>
                <c:pt idx="1">
                  <c:v>14310962.641174722</c:v>
                </c:pt>
                <c:pt idx="2">
                  <c:v>20763455.704064794</c:v>
                </c:pt>
              </c:numCache>
            </c:numRef>
          </c:val>
          <c:extLst>
            <c:ext xmlns:c16="http://schemas.microsoft.com/office/drawing/2014/chart" uri="{C3380CC4-5D6E-409C-BE32-E72D297353CC}">
              <c16:uniqueId val="{00000000-0689-4855-A424-84100FCC9C1E}"/>
            </c:ext>
          </c:extLst>
        </c:ser>
        <c:ser>
          <c:idx val="1"/>
          <c:order val="1"/>
          <c:tx>
            <c:v>Ideal Model (No Pmt Frictions)</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'A2. BASE MODEL'!$B$4:$D$4</c:f>
              <c:strCache>
                <c:ptCount val="3"/>
                <c:pt idx="0">
                  <c:v>Year 1</c:v>
                </c:pt>
                <c:pt idx="1">
                  <c:v>Year 2</c:v>
                </c:pt>
                <c:pt idx="2">
                  <c:v>Year 3</c:v>
                </c:pt>
              </c:strCache>
            </c:strRef>
          </c:cat>
          <c:val>
            <c:numRef>
              <c:f>'A2. BASE MODEL'!$B$6:$D$6</c:f>
              <c:numCache>
                <c:formatCode>_("$"* #,##0_);_("$"* \(#,##0\);_("$"* "-"??_);_(@_)</c:formatCode>
                <c:ptCount val="3"/>
                <c:pt idx="0">
                  <c:v>12220038.289587626</c:v>
                </c:pt>
                <c:pt idx="1">
                  <c:v>19909477.441046335</c:v>
                </c:pt>
                <c:pt idx="2">
                  <c:v>32431807.438612878</c:v>
                </c:pt>
              </c:numCache>
            </c:numRef>
          </c:val>
          <c:extLst>
            <c:ext xmlns:c16="http://schemas.microsoft.com/office/drawing/2014/chart" uri="{C3380CC4-5D6E-409C-BE32-E72D297353CC}">
              <c16:uniqueId val="{00000001-0689-4855-A424-84100FCC9C1E}"/>
            </c:ext>
          </c:extLst>
        </c:ser>
        <c:dLbls>
          <c:showLegendKey val="0"/>
          <c:showVal val="0"/>
          <c:showCatName val="0"/>
          <c:showSerName val="0"/>
          <c:showPercent val="0"/>
          <c:showBubbleSize val="0"/>
        </c:dLbls>
        <c:gapWidth val="219"/>
        <c:overlap val="-27"/>
        <c:axId val="66227328"/>
        <c:axId val="64736176"/>
      </c:barChart>
      <c:catAx>
        <c:axId val="66227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64736176"/>
        <c:crosses val="autoZero"/>
        <c:auto val="1"/>
        <c:lblAlgn val="ctr"/>
        <c:lblOffset val="100"/>
        <c:noMultiLvlLbl val="0"/>
      </c:catAx>
      <c:valAx>
        <c:axId val="64736176"/>
        <c:scaling>
          <c:orientation val="minMax"/>
        </c:scaling>
        <c:delete val="0"/>
        <c:axPos val="l"/>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27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Chart 1: Annual</a:t>
            </a:r>
            <a:r>
              <a:rPr lang="en-US" b="1" baseline="0"/>
              <a:t> Churn</a:t>
            </a:r>
          </a:p>
          <a:p>
            <a:pPr>
              <a:defRPr b="1"/>
            </a:pPr>
            <a:r>
              <a:rPr lang="en-US" b="1" baseline="0"/>
              <a:t>Customers lost per year due to Payment Frictions</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7239369765962601E-2"/>
          <c:y val="0.256676440866554"/>
          <c:w val="0.88817083462180801"/>
          <c:h val="0.63877239013751796"/>
        </c:manualLayout>
      </c:layout>
      <c:barChart>
        <c:barDir val="col"/>
        <c:grouping val="clustered"/>
        <c:varyColors val="0"/>
        <c:ser>
          <c:idx val="0"/>
          <c:order val="0"/>
          <c:spPr>
            <a:solidFill>
              <a:schemeClr val="tx2">
                <a:lumMod val="90000"/>
                <a:lumOff val="10000"/>
              </a:schemeClr>
            </a:solidFill>
            <a:ln>
              <a:noFill/>
            </a:ln>
            <a:effectLst/>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C50-454D-9A84-F2663B8A8257}"/>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C50-454D-9A84-F2663B8A8257}"/>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50-454D-9A84-F2663B8A825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'A2. BASE MODEL'!$O$4:$Q$4</c:f>
              <c:numCache>
                <c:formatCode>General</c:formatCode>
                <c:ptCount val="3"/>
              </c:numCache>
            </c:numRef>
          </c:cat>
          <c:val>
            <c:numRef>
              <c:f>'A2. BASE MODEL'!$I$6:$K$6</c:f>
              <c:numCache>
                <c:formatCode>#,##0_);\(#,##0\)</c:formatCode>
                <c:ptCount val="3"/>
                <c:pt idx="0">
                  <c:v>14294.215367659104</c:v>
                </c:pt>
                <c:pt idx="1">
                  <c:v>20737.047603392493</c:v>
                </c:pt>
                <c:pt idx="2">
                  <c:v>30086.918688984802</c:v>
                </c:pt>
              </c:numCache>
            </c:numRef>
          </c:val>
          <c:extLst>
            <c:ext xmlns:c16="http://schemas.microsoft.com/office/drawing/2014/chart" uri="{C3380CC4-5D6E-409C-BE32-E72D297353CC}">
              <c16:uniqueId val="{00000003-FC50-454D-9A84-F2663B8A8257}"/>
            </c:ext>
          </c:extLst>
        </c:ser>
        <c:dLbls>
          <c:showLegendKey val="0"/>
          <c:showVal val="0"/>
          <c:showCatName val="0"/>
          <c:showSerName val="0"/>
          <c:showPercent val="0"/>
          <c:showBubbleSize val="0"/>
        </c:dLbls>
        <c:gapWidth val="219"/>
        <c:overlap val="-27"/>
        <c:axId val="65854992"/>
        <c:axId val="65857312"/>
      </c:barChart>
      <c:catAx>
        <c:axId val="65854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857312"/>
        <c:crosses val="autoZero"/>
        <c:auto val="1"/>
        <c:lblAlgn val="ctr"/>
        <c:lblOffset val="100"/>
        <c:noMultiLvlLbl val="0"/>
      </c:catAx>
      <c:valAx>
        <c:axId val="65857312"/>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854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Chart 2: Annual Payment Collection Costs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'A2. BASE MODEL'!$I$4:$K$4</c:f>
              <c:strCache>
                <c:ptCount val="3"/>
                <c:pt idx="0">
                  <c:v>Year 1</c:v>
                </c:pt>
                <c:pt idx="1">
                  <c:v>Year 2</c:v>
                </c:pt>
                <c:pt idx="2">
                  <c:v>Year 3</c:v>
                </c:pt>
              </c:strCache>
            </c:strRef>
          </c:cat>
          <c:val>
            <c:numRef>
              <c:f>'A2. BASE MODEL'!$I$5:$K$5</c:f>
              <c:numCache>
                <c:formatCode>_("$"* #,##0_);_("$"* \(#,##0\);_("$"* "-"??_);_(@_)</c:formatCode>
                <c:ptCount val="3"/>
                <c:pt idx="0">
                  <c:v>307391.19871378661</c:v>
                </c:pt>
                <c:pt idx="1">
                  <c:v>445987.01697045151</c:v>
                </c:pt>
                <c:pt idx="2">
                  <c:v>647072.590687291</c:v>
                </c:pt>
              </c:numCache>
            </c:numRef>
          </c:val>
          <c:extLst>
            <c:ext xmlns:c16="http://schemas.microsoft.com/office/drawing/2014/chart" uri="{C3380CC4-5D6E-409C-BE32-E72D297353CC}">
              <c16:uniqueId val="{00000000-A903-4AF7-9C32-8B1524E8EA4B}"/>
            </c:ext>
          </c:extLst>
        </c:ser>
        <c:dLbls>
          <c:showLegendKey val="0"/>
          <c:showVal val="0"/>
          <c:showCatName val="0"/>
          <c:showSerName val="0"/>
          <c:showPercent val="0"/>
          <c:showBubbleSize val="0"/>
        </c:dLbls>
        <c:gapWidth val="219"/>
        <c:overlap val="-27"/>
        <c:axId val="96243952"/>
        <c:axId val="36471632"/>
      </c:barChart>
      <c:catAx>
        <c:axId val="96243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36471632"/>
        <c:crosses val="autoZero"/>
        <c:auto val="1"/>
        <c:lblAlgn val="ctr"/>
        <c:lblOffset val="100"/>
        <c:noMultiLvlLbl val="0"/>
      </c:catAx>
      <c:valAx>
        <c:axId val="36471632"/>
        <c:scaling>
          <c:orientation val="minMax"/>
        </c:scaling>
        <c:delete val="0"/>
        <c:axPos val="l"/>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243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Chart 3b: Annual Revenue Lost</a:t>
            </a:r>
            <a:r>
              <a:rPr lang="en-US" b="1" baseline="0"/>
              <a:t> D</a:t>
            </a:r>
            <a:r>
              <a:rPr lang="en-US" b="1"/>
              <a:t>ue to Payment Frictions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'A2. BASE MODEL'!$A$7</c:f>
              <c:strCache>
                <c:ptCount val="1"/>
                <c:pt idx="0">
                  <c:v>Est. Loss Due to Payment Frictions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'A2. BASE MODEL'!$B$4:$D$4</c:f>
              <c:strCache>
                <c:ptCount val="3"/>
                <c:pt idx="0">
                  <c:v>Year 1</c:v>
                </c:pt>
                <c:pt idx="1">
                  <c:v>Year 2</c:v>
                </c:pt>
                <c:pt idx="2">
                  <c:v>Year 3</c:v>
                </c:pt>
              </c:strCache>
            </c:strRef>
          </c:cat>
          <c:val>
            <c:numRef>
              <c:f>'A2. BASE MODEL'!$B$7:$D$7</c:f>
              <c:numCache>
                <c:formatCode>_("$"* #,##0_);_("$"* \(#,##0\);_("$"* "-"??_);_(@_)</c:formatCode>
                <c:ptCount val="3"/>
                <c:pt idx="0">
                  <c:v>-2358516.7128294241</c:v>
                </c:pt>
                <c:pt idx="1">
                  <c:v>-5598514.7998716123</c:v>
                </c:pt>
                <c:pt idx="2">
                  <c:v>-11668351.734548084</c:v>
                </c:pt>
              </c:numCache>
            </c:numRef>
          </c:val>
          <c:extLst>
            <c:ext xmlns:c16="http://schemas.microsoft.com/office/drawing/2014/chart" uri="{C3380CC4-5D6E-409C-BE32-E72D297353CC}">
              <c16:uniqueId val="{00000001-0689-4855-A424-84100FCC9C1E}"/>
            </c:ext>
          </c:extLst>
        </c:ser>
        <c:dLbls>
          <c:showLegendKey val="0"/>
          <c:showVal val="0"/>
          <c:showCatName val="0"/>
          <c:showSerName val="0"/>
          <c:showPercent val="0"/>
          <c:showBubbleSize val="0"/>
        </c:dLbls>
        <c:gapWidth val="219"/>
        <c:overlap val="-27"/>
        <c:axId val="66227328"/>
        <c:axId val="64736176"/>
      </c:barChart>
      <c:catAx>
        <c:axId val="66227328"/>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64736176"/>
        <c:crosses val="autoZero"/>
        <c:auto val="1"/>
        <c:lblAlgn val="ctr"/>
        <c:lblOffset val="100"/>
        <c:noMultiLvlLbl val="0"/>
      </c:catAx>
      <c:valAx>
        <c:axId val="64736176"/>
        <c:scaling>
          <c:orientation val="minMax"/>
        </c:scaling>
        <c:delete val="0"/>
        <c:axPos val="l"/>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27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Chart 4: Total Revenue,</a:t>
            </a:r>
            <a:r>
              <a:rPr lang="en-US" b="1" baseline="0"/>
              <a:t> Net of Payment Management</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'B2. MASTER AGENT MODEL'!$A$5</c:f>
              <c:strCache>
                <c:ptCount val="1"/>
                <c:pt idx="0">
                  <c:v>Revenue, Current Business Model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'B2. MASTER AGENT MODEL'!$B$3:$D$3</c:f>
              <c:strCache>
                <c:ptCount val="3"/>
                <c:pt idx="0">
                  <c:v>Year 1</c:v>
                </c:pt>
                <c:pt idx="1">
                  <c:v>Year 2</c:v>
                </c:pt>
                <c:pt idx="2">
                  <c:v>Year 3</c:v>
                </c:pt>
              </c:strCache>
            </c:strRef>
          </c:cat>
          <c:val>
            <c:numRef>
              <c:f>'B2. MASTER AGENT MODEL'!$B$5:$D$5</c:f>
              <c:numCache>
                <c:formatCode>_("$"* #,##0_);_("$"* \(#,##0\);_("$"* "-"??_);_(@_)</c:formatCode>
                <c:ptCount val="3"/>
                <c:pt idx="0">
                  <c:v>9861521.5767582022</c:v>
                </c:pt>
                <c:pt idx="1">
                  <c:v>14310962.641174722</c:v>
                </c:pt>
                <c:pt idx="2">
                  <c:v>20763455.704064794</c:v>
                </c:pt>
              </c:numCache>
            </c:numRef>
          </c:val>
          <c:extLst>
            <c:ext xmlns:c16="http://schemas.microsoft.com/office/drawing/2014/chart" uri="{C3380CC4-5D6E-409C-BE32-E72D297353CC}">
              <c16:uniqueId val="{00000000-61DA-4666-ACFA-2B33B88CC0E9}"/>
            </c:ext>
          </c:extLst>
        </c:ser>
        <c:ser>
          <c:idx val="2"/>
          <c:order val="2"/>
          <c:tx>
            <c:strRef>
              <c:f>'B2. MASTER AGENT MODEL'!$A$7</c:f>
              <c:strCache>
                <c:ptCount val="1"/>
                <c:pt idx="0">
                  <c:v>Incremental net revenue from master agent business compared to current business model</c:v>
                </c:pt>
              </c:strCache>
            </c:strRef>
          </c:tx>
          <c:spPr>
            <a:solidFill>
              <a:schemeClr val="accent2"/>
            </a:solidFill>
            <a:ln>
              <a:noFill/>
            </a:ln>
            <a:effectLst/>
          </c:spPr>
          <c:invertIfNegative val="0"/>
          <c:dLbls>
            <c:dLbl>
              <c:idx val="0"/>
              <c:tx>
                <c:rich>
                  <a:bodyPr/>
                  <a:lstStyle/>
                  <a:p>
                    <a:fld id="{58F1C407-A14A-E24D-B638-584A5825641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1DA-4666-ACFA-2B33B88CC0E9}"/>
                </c:ext>
              </c:extLst>
            </c:dLbl>
            <c:dLbl>
              <c:idx val="1"/>
              <c:tx>
                <c:rich>
                  <a:bodyPr/>
                  <a:lstStyle/>
                  <a:p>
                    <a:fld id="{56921CFC-9B7B-9F4A-A3FA-D2AAA9E63B4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61DA-4666-ACFA-2B33B88CC0E9}"/>
                </c:ext>
              </c:extLst>
            </c:dLbl>
            <c:dLbl>
              <c:idx val="2"/>
              <c:tx>
                <c:rich>
                  <a:bodyPr/>
                  <a:lstStyle/>
                  <a:p>
                    <a:fld id="{60FEBB09-7861-D549-AEDF-906B695E6D2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1DA-4666-ACFA-2B33B88CC0E9}"/>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1100" b="1" i="0" u="none" strike="noStrike" kern="1200" baseline="0">
                    <a:ln w="3175">
                      <a:solidFill>
                        <a:schemeClr val="accent2"/>
                      </a:solidFill>
                    </a:ln>
                    <a:solidFill>
                      <a:schemeClr val="tx2"/>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'B2. MASTER AGENT MODEL'!$B$3:$D$3</c:f>
              <c:strCache>
                <c:ptCount val="3"/>
                <c:pt idx="0">
                  <c:v>Year 1</c:v>
                </c:pt>
                <c:pt idx="1">
                  <c:v>Year 2</c:v>
                </c:pt>
                <c:pt idx="2">
                  <c:v>Year 3</c:v>
                </c:pt>
              </c:strCache>
            </c:strRef>
          </c:cat>
          <c:val>
            <c:numRef>
              <c:f>'B2. MASTER AGENT MODEL'!$B$7:$D$7</c:f>
              <c:numCache>
                <c:formatCode>_("$"* #,##0_);_("$"* \(#,##0\);_("$"* "-"??_);_(@_)</c:formatCode>
                <c:ptCount val="3"/>
                <c:pt idx="0">
                  <c:v>934365.73775158077</c:v>
                </c:pt>
                <c:pt idx="1">
                  <c:v>2354025.2895982526</c:v>
                </c:pt>
                <c:pt idx="2">
                  <c:v>4865350.6070259511</c:v>
                </c:pt>
              </c:numCache>
            </c:numRef>
          </c:val>
          <c:extLst>
            <c:ext xmlns:c15="http://schemas.microsoft.com/office/drawing/2012/chart" uri="{02D57815-91ED-43cb-92C2-25804820EDAC}">
              <c15:datalabelsRange>
                <c15:f>'B2. MASTER AGENT MODEL'!$B$8:$D$8</c15:f>
                <c15:dlblRangeCache>
                  <c:ptCount val="3"/>
                  <c:pt idx="0">
                    <c:v>9%</c:v>
                  </c:pt>
                  <c:pt idx="1">
                    <c:v>16%</c:v>
                  </c:pt>
                  <c:pt idx="2">
                    <c:v>23%</c:v>
                  </c:pt>
                </c15:dlblRangeCache>
              </c15:datalabelsRange>
            </c:ext>
            <c:ext xmlns:c16="http://schemas.microsoft.com/office/drawing/2014/chart" uri="{C3380CC4-5D6E-409C-BE32-E72D297353CC}">
              <c16:uniqueId val="{00000004-61DA-4666-ACFA-2B33B88CC0E9}"/>
            </c:ext>
          </c:extLst>
        </c:ser>
        <c:dLbls>
          <c:showLegendKey val="0"/>
          <c:showVal val="0"/>
          <c:showCatName val="0"/>
          <c:showSerName val="0"/>
          <c:showPercent val="0"/>
          <c:showBubbleSize val="0"/>
        </c:dLbls>
        <c:gapWidth val="182"/>
        <c:overlap val="100"/>
        <c:axId val="62448208"/>
        <c:axId val="-17815616"/>
        <c:extLst>
          <c:ext xmlns:c15="http://schemas.microsoft.com/office/drawing/2012/chart" uri="{02D57815-91ED-43cb-92C2-25804820EDAC}">
            <c15:filteredBarSeries>
              <c15:ser>
                <c:idx val="1"/>
                <c:order val="1"/>
                <c:tx>
                  <c:strRef>
                    <c:extLst>
                      <c:ext uri="{02D57815-91ED-43cb-92C2-25804820EDAC}">
                        <c15:formulaRef>
                          <c15:sqref>'B2. MASTER AGENT MODEL'!$A$6</c15:sqref>
                        </c15:formulaRef>
                      </c:ext>
                    </c:extLst>
                    <c:strCache>
                      <c:ptCount val="1"/>
                      <c:pt idx="0">
                        <c:v>Master Agent Model</c:v>
                      </c:pt>
                    </c:strCache>
                  </c:strRef>
                </c:tx>
                <c:spPr>
                  <a:solidFill>
                    <a:schemeClr val="accent2"/>
                  </a:solidFill>
                  <a:ln>
                    <a:noFill/>
                  </a:ln>
                  <a:effectLst/>
                </c:spPr>
                <c:invertIfNegative val="0"/>
                <c:cat>
                  <c:strRef>
                    <c:extLst>
                      <c:ext uri="{02D57815-91ED-43cb-92C2-25804820EDAC}">
                        <c15:formulaRef>
                          <c15:sqref>'B2. MASTER AGENT MODEL'!$B$3:$D$3</c15:sqref>
                        </c15:formulaRef>
                      </c:ext>
                    </c:extLst>
                    <c:strCache>
                      <c:ptCount val="3"/>
                      <c:pt idx="0">
                        <c:v>Year 1</c:v>
                      </c:pt>
                      <c:pt idx="1">
                        <c:v>Year 2</c:v>
                      </c:pt>
                      <c:pt idx="2">
                        <c:v>Year 3</c:v>
                      </c:pt>
                    </c:strCache>
                  </c:strRef>
                </c:cat>
                <c:val>
                  <c:numRef>
                    <c:extLst>
                      <c:ext uri="{02D57815-91ED-43cb-92C2-25804820EDAC}">
                        <c15:formulaRef>
                          <c15:sqref>'B2. MASTER AGENT MODEL'!$B$6:$D$6</c15:sqref>
                        </c15:formulaRef>
                      </c:ext>
                    </c:extLst>
                    <c:numCache>
                      <c:formatCode>_("$"* #,##0_);_("$"* \(#,##0\);_("$"* "-"??_);_(@_)</c:formatCode>
                      <c:ptCount val="3"/>
                      <c:pt idx="0">
                        <c:v>10795887.314509783</c:v>
                      </c:pt>
                      <c:pt idx="1">
                        <c:v>16664987.930772975</c:v>
                      </c:pt>
                      <c:pt idx="2">
                        <c:v>25628806.311090745</c:v>
                      </c:pt>
                    </c:numCache>
                  </c:numRef>
                </c:val>
                <c:extLst>
                  <c:ext xmlns:c16="http://schemas.microsoft.com/office/drawing/2014/chart" uri="{C3380CC4-5D6E-409C-BE32-E72D297353CC}">
                    <c16:uniqueId val="{00000005-61DA-4666-ACFA-2B33B88CC0E9}"/>
                  </c:ext>
                </c:extLst>
              </c15:ser>
            </c15:filteredBarSeries>
          </c:ext>
        </c:extLst>
      </c:barChart>
      <c:catAx>
        <c:axId val="62448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7815616"/>
        <c:crosses val="autoZero"/>
        <c:auto val="1"/>
        <c:lblAlgn val="ctr"/>
        <c:lblOffset val="100"/>
        <c:noMultiLvlLbl val="0"/>
      </c:catAx>
      <c:valAx>
        <c:axId val="-1781561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4482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Chart 5: Annual Churn</a:t>
            </a:r>
          </a:p>
          <a:p>
            <a:pPr>
              <a:defRPr/>
            </a:pPr>
            <a:r>
              <a:rPr lang="en-US" b="1"/>
              <a:t>Total Customers Lost due to Payment Frictions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'B2. MASTER AGENT MODEL'!$G$5</c:f>
              <c:strCache>
                <c:ptCount val="1"/>
                <c:pt idx="0">
                  <c:v>Current Business Model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'B2. MASTER AGENT MODEL'!$H$3:$J$3</c:f>
              <c:strCache>
                <c:ptCount val="3"/>
                <c:pt idx="0">
                  <c:v>Year 1</c:v>
                </c:pt>
                <c:pt idx="1">
                  <c:v>Year 2</c:v>
                </c:pt>
                <c:pt idx="2">
                  <c:v>Year 3</c:v>
                </c:pt>
              </c:strCache>
            </c:strRef>
          </c:cat>
          <c:val>
            <c:numRef>
              <c:f>'B2. MASTER AGENT MODEL'!$H$5:$J$5</c:f>
              <c:numCache>
                <c:formatCode>#,##0_);\(#,##0\)</c:formatCode>
                <c:ptCount val="3"/>
                <c:pt idx="0">
                  <c:v>14294.215367659104</c:v>
                </c:pt>
                <c:pt idx="1">
                  <c:v>20737.047603392493</c:v>
                </c:pt>
                <c:pt idx="2">
                  <c:v>30086.918688984802</c:v>
                </c:pt>
              </c:numCache>
            </c:numRef>
          </c:val>
          <c:extLst>
            <c:ext xmlns:c16="http://schemas.microsoft.com/office/drawing/2014/chart" uri="{C3380CC4-5D6E-409C-BE32-E72D297353CC}">
              <c16:uniqueId val="{00000000-6685-4BEA-9F9A-EE62FA8C7AAA}"/>
            </c:ext>
          </c:extLst>
        </c:ser>
        <c:ser>
          <c:idx val="1"/>
          <c:order val="1"/>
          <c:tx>
            <c:strRef>
              <c:f>'B2. MASTER AGENT MODEL'!$G$6</c:f>
              <c:strCache>
                <c:ptCount val="1"/>
                <c:pt idx="0">
                  <c:v>Master Agent Model</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'B2. MASTER AGENT MODEL'!$H$3:$J$3</c:f>
              <c:strCache>
                <c:ptCount val="3"/>
                <c:pt idx="0">
                  <c:v>Year 1</c:v>
                </c:pt>
                <c:pt idx="1">
                  <c:v>Year 2</c:v>
                </c:pt>
                <c:pt idx="2">
                  <c:v>Year 3</c:v>
                </c:pt>
              </c:strCache>
            </c:strRef>
          </c:cat>
          <c:val>
            <c:numRef>
              <c:f>'B2. MASTER AGENT MODEL'!$H$6:$J$6</c:f>
              <c:numCache>
                <c:formatCode>#,##0_);\(#,##0\)</c:formatCode>
                <c:ptCount val="3"/>
                <c:pt idx="0">
                  <c:v>11030.82494065733</c:v>
                </c:pt>
                <c:pt idx="1">
                  <c:v>16958.870927652919</c:v>
                </c:pt>
                <c:pt idx="2">
                  <c:v>26075.257865378939</c:v>
                </c:pt>
              </c:numCache>
            </c:numRef>
          </c:val>
          <c:extLst>
            <c:ext xmlns:c16="http://schemas.microsoft.com/office/drawing/2014/chart" uri="{C3380CC4-5D6E-409C-BE32-E72D297353CC}">
              <c16:uniqueId val="{00000001-6685-4BEA-9F9A-EE62FA8C7AAA}"/>
            </c:ext>
          </c:extLst>
        </c:ser>
        <c:dLbls>
          <c:showLegendKey val="0"/>
          <c:showVal val="0"/>
          <c:showCatName val="0"/>
          <c:showSerName val="0"/>
          <c:showPercent val="0"/>
          <c:showBubbleSize val="0"/>
        </c:dLbls>
        <c:gapWidth val="182"/>
        <c:axId val="65887200"/>
        <c:axId val="65889520"/>
      </c:barChart>
      <c:catAx>
        <c:axId val="65887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65889520"/>
        <c:crosses val="autoZero"/>
        <c:auto val="1"/>
        <c:lblAlgn val="ctr"/>
        <c:lblOffset val="100"/>
        <c:noMultiLvlLbl val="0"/>
      </c:catAx>
      <c:valAx>
        <c:axId val="65889520"/>
        <c:scaling>
          <c:orientation val="minMax"/>
        </c:scaling>
        <c:delete val="0"/>
        <c:axPos val="l"/>
        <c:majorGridlines>
          <c:spPr>
            <a:ln w="9525" cap="flat" cmpd="sng" algn="ctr">
              <a:solidFill>
                <a:schemeClr val="tx1">
                  <a:lumMod val="15000"/>
                  <a:lumOff val="85000"/>
                </a:schemeClr>
              </a:solidFill>
              <a:round/>
            </a:ln>
            <a:effectLst/>
          </c:spPr>
        </c:majorGridlines>
        <c:numFmt formatCode="#,##0_);\(#,##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887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Chart 6: Master Agent Network</a:t>
            </a:r>
          </a:p>
          <a:p>
            <a:pPr>
              <a:defRPr/>
            </a:pPr>
            <a:r>
              <a:rPr lang="en-US" b="1"/>
              <a:t>Number</a:t>
            </a:r>
            <a:r>
              <a:rPr lang="en-US" b="1" baseline="0"/>
              <a:t> of Agents</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'B2. MASTER AGENT MODEL'!$B$10:$AK$10</c:f>
              <c:strCache>
                <c:ptCount val="36"/>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pt idx="12">
                  <c:v>Month 13</c:v>
                </c:pt>
                <c:pt idx="13">
                  <c:v>Month 14</c:v>
                </c:pt>
                <c:pt idx="14">
                  <c:v>Month 15</c:v>
                </c:pt>
                <c:pt idx="15">
                  <c:v>Month 16</c:v>
                </c:pt>
                <c:pt idx="16">
                  <c:v>Month 17</c:v>
                </c:pt>
                <c:pt idx="17">
                  <c:v>Month 18</c:v>
                </c:pt>
                <c:pt idx="18">
                  <c:v>Month 19</c:v>
                </c:pt>
                <c:pt idx="19">
                  <c:v>Month 20</c:v>
                </c:pt>
                <c:pt idx="20">
                  <c:v>Month 21</c:v>
                </c:pt>
                <c:pt idx="21">
                  <c:v>Month 22</c:v>
                </c:pt>
                <c:pt idx="22">
                  <c:v>Month 23</c:v>
                </c:pt>
                <c:pt idx="23">
                  <c:v>Month 24</c:v>
                </c:pt>
                <c:pt idx="24">
                  <c:v>Month 25</c:v>
                </c:pt>
                <c:pt idx="25">
                  <c:v>Month 26</c:v>
                </c:pt>
                <c:pt idx="26">
                  <c:v>Month 27</c:v>
                </c:pt>
                <c:pt idx="27">
                  <c:v>Month 28</c:v>
                </c:pt>
                <c:pt idx="28">
                  <c:v>Month 29</c:v>
                </c:pt>
                <c:pt idx="29">
                  <c:v>Month 30</c:v>
                </c:pt>
                <c:pt idx="30">
                  <c:v>Month 31</c:v>
                </c:pt>
                <c:pt idx="31">
                  <c:v>Month 32</c:v>
                </c:pt>
                <c:pt idx="32">
                  <c:v>Month 33</c:v>
                </c:pt>
                <c:pt idx="33">
                  <c:v>Month 34</c:v>
                </c:pt>
                <c:pt idx="34">
                  <c:v>Month 35</c:v>
                </c:pt>
                <c:pt idx="35">
                  <c:v>Month 36</c:v>
                </c:pt>
              </c:strCache>
            </c:strRef>
          </c:cat>
          <c:val>
            <c:numRef>
              <c:f>'B2. MASTER AGENT MODEL'!$B$71:$AK$71</c:f>
              <c:numCache>
                <c:formatCode>0</c:formatCode>
                <c:ptCount val="36"/>
                <c:pt idx="0">
                  <c:v>207</c:v>
                </c:pt>
                <c:pt idx="1">
                  <c:v>215</c:v>
                </c:pt>
                <c:pt idx="2">
                  <c:v>223</c:v>
                </c:pt>
                <c:pt idx="3">
                  <c:v>231</c:v>
                </c:pt>
                <c:pt idx="4">
                  <c:v>239</c:v>
                </c:pt>
                <c:pt idx="5">
                  <c:v>248</c:v>
                </c:pt>
                <c:pt idx="6">
                  <c:v>257</c:v>
                </c:pt>
                <c:pt idx="7">
                  <c:v>267</c:v>
                </c:pt>
                <c:pt idx="8">
                  <c:v>276</c:v>
                </c:pt>
                <c:pt idx="9">
                  <c:v>286</c:v>
                </c:pt>
                <c:pt idx="10">
                  <c:v>297</c:v>
                </c:pt>
                <c:pt idx="11">
                  <c:v>308</c:v>
                </c:pt>
                <c:pt idx="12">
                  <c:v>319</c:v>
                </c:pt>
                <c:pt idx="13">
                  <c:v>330</c:v>
                </c:pt>
                <c:pt idx="14">
                  <c:v>342</c:v>
                </c:pt>
                <c:pt idx="15">
                  <c:v>355</c:v>
                </c:pt>
                <c:pt idx="16">
                  <c:v>368</c:v>
                </c:pt>
                <c:pt idx="17">
                  <c:v>381</c:v>
                </c:pt>
                <c:pt idx="18">
                  <c:v>395</c:v>
                </c:pt>
                <c:pt idx="19">
                  <c:v>410</c:v>
                </c:pt>
                <c:pt idx="20">
                  <c:v>424</c:v>
                </c:pt>
                <c:pt idx="21">
                  <c:v>440</c:v>
                </c:pt>
                <c:pt idx="22">
                  <c:v>456</c:v>
                </c:pt>
                <c:pt idx="23">
                  <c:v>473</c:v>
                </c:pt>
                <c:pt idx="24">
                  <c:v>490</c:v>
                </c:pt>
                <c:pt idx="25">
                  <c:v>508</c:v>
                </c:pt>
                <c:pt idx="26">
                  <c:v>526</c:v>
                </c:pt>
                <c:pt idx="27">
                  <c:v>545</c:v>
                </c:pt>
                <c:pt idx="28">
                  <c:v>565</c:v>
                </c:pt>
                <c:pt idx="29">
                  <c:v>586</c:v>
                </c:pt>
                <c:pt idx="30">
                  <c:v>607</c:v>
                </c:pt>
                <c:pt idx="31">
                  <c:v>629</c:v>
                </c:pt>
                <c:pt idx="32">
                  <c:v>652</c:v>
                </c:pt>
                <c:pt idx="33">
                  <c:v>676</c:v>
                </c:pt>
                <c:pt idx="34">
                  <c:v>701</c:v>
                </c:pt>
                <c:pt idx="35">
                  <c:v>726</c:v>
                </c:pt>
              </c:numCache>
            </c:numRef>
          </c:val>
          <c:smooth val="0"/>
          <c:extLst>
            <c:ext xmlns:c16="http://schemas.microsoft.com/office/drawing/2014/chart" uri="{C3380CC4-5D6E-409C-BE32-E72D297353CC}">
              <c16:uniqueId val="{00000000-4797-4C46-88D5-2232F6BA3A48}"/>
            </c:ext>
          </c:extLst>
        </c:ser>
        <c:dLbls>
          <c:showLegendKey val="0"/>
          <c:showVal val="0"/>
          <c:showCatName val="0"/>
          <c:showSerName val="0"/>
          <c:showPercent val="0"/>
          <c:showBubbleSize val="0"/>
        </c:dLbls>
        <c:smooth val="0"/>
        <c:axId val="58969440"/>
        <c:axId val="59492336"/>
      </c:lineChart>
      <c:catAx>
        <c:axId val="58969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492336"/>
        <c:crosses val="autoZero"/>
        <c:auto val="1"/>
        <c:lblAlgn val="ctr"/>
        <c:lblOffset val="100"/>
        <c:noMultiLvlLbl val="0"/>
      </c:catAx>
      <c:valAx>
        <c:axId val="59492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9694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Agent Break-Even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'B4. AGENT BREAK EVEN'!$H$63</c:f>
              <c:strCache>
                <c:ptCount val="1"/>
                <c:pt idx="0">
                  <c:v>Expenses</c:v>
                </c:pt>
              </c:strCache>
            </c:strRef>
          </c:tx>
          <c:spPr>
            <a:ln w="28575" cap="rnd">
              <a:solidFill>
                <a:schemeClr val="accent1"/>
              </a:solidFill>
              <a:round/>
            </a:ln>
            <a:effectLst/>
          </c:spPr>
          <c:marker>
            <c:symbol val="none"/>
          </c:marker>
          <c:cat>
            <c:numRef>
              <c:f>'B4. AGENT BREAK EVEN'!$E$64:$E$143</c:f>
              <c:numCache>
                <c:formatCode>_(* #,##0_);_(* \(#,##0\);_(* "-"??_);_(@_)</c:formatCode>
                <c:ptCount val="80"/>
                <c:pt idx="0">
                  <c:v>50</c:v>
                </c:pt>
                <c:pt idx="1">
                  <c:v>100</c:v>
                </c:pt>
                <c:pt idx="2">
                  <c:v>150</c:v>
                </c:pt>
                <c:pt idx="3">
                  <c:v>200</c:v>
                </c:pt>
                <c:pt idx="4">
                  <c:v>250</c:v>
                </c:pt>
                <c:pt idx="5">
                  <c:v>300</c:v>
                </c:pt>
                <c:pt idx="6">
                  <c:v>350</c:v>
                </c:pt>
                <c:pt idx="7">
                  <c:v>400</c:v>
                </c:pt>
                <c:pt idx="8">
                  <c:v>450</c:v>
                </c:pt>
                <c:pt idx="9">
                  <c:v>500</c:v>
                </c:pt>
                <c:pt idx="10">
                  <c:v>550</c:v>
                </c:pt>
                <c:pt idx="11">
                  <c:v>600</c:v>
                </c:pt>
                <c:pt idx="12">
                  <c:v>650</c:v>
                </c:pt>
                <c:pt idx="13">
                  <c:v>700</c:v>
                </c:pt>
                <c:pt idx="14">
                  <c:v>750</c:v>
                </c:pt>
                <c:pt idx="15">
                  <c:v>800</c:v>
                </c:pt>
                <c:pt idx="16">
                  <c:v>850</c:v>
                </c:pt>
                <c:pt idx="17">
                  <c:v>900</c:v>
                </c:pt>
                <c:pt idx="18">
                  <c:v>950</c:v>
                </c:pt>
                <c:pt idx="19">
                  <c:v>1000</c:v>
                </c:pt>
                <c:pt idx="20">
                  <c:v>1050</c:v>
                </c:pt>
                <c:pt idx="21">
                  <c:v>1100</c:v>
                </c:pt>
                <c:pt idx="22">
                  <c:v>1150</c:v>
                </c:pt>
                <c:pt idx="23">
                  <c:v>1200</c:v>
                </c:pt>
                <c:pt idx="24">
                  <c:v>1250</c:v>
                </c:pt>
                <c:pt idx="25">
                  <c:v>1300</c:v>
                </c:pt>
                <c:pt idx="26">
                  <c:v>1350</c:v>
                </c:pt>
                <c:pt idx="27">
                  <c:v>1400</c:v>
                </c:pt>
                <c:pt idx="28">
                  <c:v>1450</c:v>
                </c:pt>
                <c:pt idx="29">
                  <c:v>1500</c:v>
                </c:pt>
                <c:pt idx="30">
                  <c:v>1550</c:v>
                </c:pt>
                <c:pt idx="31">
                  <c:v>1600</c:v>
                </c:pt>
                <c:pt idx="32">
                  <c:v>1650</c:v>
                </c:pt>
                <c:pt idx="33">
                  <c:v>1700</c:v>
                </c:pt>
                <c:pt idx="34">
                  <c:v>1750</c:v>
                </c:pt>
                <c:pt idx="35">
                  <c:v>1800</c:v>
                </c:pt>
                <c:pt idx="36">
                  <c:v>1850</c:v>
                </c:pt>
                <c:pt idx="37">
                  <c:v>1900</c:v>
                </c:pt>
                <c:pt idx="38">
                  <c:v>1950</c:v>
                </c:pt>
                <c:pt idx="39">
                  <c:v>2000</c:v>
                </c:pt>
                <c:pt idx="40">
                  <c:v>2050</c:v>
                </c:pt>
                <c:pt idx="41">
                  <c:v>2100</c:v>
                </c:pt>
                <c:pt idx="42">
                  <c:v>2150</c:v>
                </c:pt>
                <c:pt idx="43">
                  <c:v>2200</c:v>
                </c:pt>
                <c:pt idx="44">
                  <c:v>2250</c:v>
                </c:pt>
                <c:pt idx="45">
                  <c:v>2300</c:v>
                </c:pt>
                <c:pt idx="46">
                  <c:v>2350</c:v>
                </c:pt>
                <c:pt idx="47">
                  <c:v>2400</c:v>
                </c:pt>
                <c:pt idx="48">
                  <c:v>2450</c:v>
                </c:pt>
                <c:pt idx="49">
                  <c:v>2500</c:v>
                </c:pt>
                <c:pt idx="50">
                  <c:v>2550</c:v>
                </c:pt>
                <c:pt idx="51">
                  <c:v>2600</c:v>
                </c:pt>
                <c:pt idx="52">
                  <c:v>2650</c:v>
                </c:pt>
                <c:pt idx="53">
                  <c:v>2700</c:v>
                </c:pt>
                <c:pt idx="54">
                  <c:v>2750</c:v>
                </c:pt>
                <c:pt idx="55">
                  <c:v>2800</c:v>
                </c:pt>
                <c:pt idx="56">
                  <c:v>2850</c:v>
                </c:pt>
                <c:pt idx="57">
                  <c:v>2900</c:v>
                </c:pt>
                <c:pt idx="58">
                  <c:v>2950</c:v>
                </c:pt>
                <c:pt idx="59">
                  <c:v>3000</c:v>
                </c:pt>
                <c:pt idx="60">
                  <c:v>3050</c:v>
                </c:pt>
                <c:pt idx="61">
                  <c:v>3100</c:v>
                </c:pt>
                <c:pt idx="62">
                  <c:v>3150</c:v>
                </c:pt>
                <c:pt idx="63">
                  <c:v>3200</c:v>
                </c:pt>
                <c:pt idx="64">
                  <c:v>3250</c:v>
                </c:pt>
                <c:pt idx="65">
                  <c:v>3300</c:v>
                </c:pt>
                <c:pt idx="66">
                  <c:v>3350</c:v>
                </c:pt>
                <c:pt idx="67">
                  <c:v>3400</c:v>
                </c:pt>
                <c:pt idx="68">
                  <c:v>3450</c:v>
                </c:pt>
                <c:pt idx="69">
                  <c:v>3500</c:v>
                </c:pt>
                <c:pt idx="70">
                  <c:v>3550</c:v>
                </c:pt>
                <c:pt idx="71">
                  <c:v>3600</c:v>
                </c:pt>
                <c:pt idx="72">
                  <c:v>3650</c:v>
                </c:pt>
                <c:pt idx="73">
                  <c:v>3700</c:v>
                </c:pt>
                <c:pt idx="74">
                  <c:v>3750</c:v>
                </c:pt>
                <c:pt idx="75">
                  <c:v>3800</c:v>
                </c:pt>
                <c:pt idx="76">
                  <c:v>3850</c:v>
                </c:pt>
                <c:pt idx="77">
                  <c:v>3900</c:v>
                </c:pt>
                <c:pt idx="78">
                  <c:v>3950</c:v>
                </c:pt>
                <c:pt idx="79">
                  <c:v>4000</c:v>
                </c:pt>
              </c:numCache>
            </c:numRef>
          </c:cat>
          <c:val>
            <c:numRef>
              <c:f>'B4. AGENT BREAK EVEN'!$H$64:$H$143</c:f>
              <c:numCache>
                <c:formatCode>_("$"* #,##0_);_("$"* \(#,##0\);_("$"* "-"??_);_(@_)</c:formatCode>
                <c:ptCount val="80"/>
                <c:pt idx="0">
                  <c:v>151.66666666666666</c:v>
                </c:pt>
                <c:pt idx="1">
                  <c:v>153.33333333333334</c:v>
                </c:pt>
                <c:pt idx="2">
                  <c:v>155</c:v>
                </c:pt>
                <c:pt idx="3">
                  <c:v>156.66666666666666</c:v>
                </c:pt>
                <c:pt idx="4">
                  <c:v>158.33333333333334</c:v>
                </c:pt>
                <c:pt idx="5">
                  <c:v>160</c:v>
                </c:pt>
                <c:pt idx="6">
                  <c:v>161.66666666666666</c:v>
                </c:pt>
                <c:pt idx="7">
                  <c:v>163.33333333333334</c:v>
                </c:pt>
                <c:pt idx="8">
                  <c:v>165</c:v>
                </c:pt>
                <c:pt idx="9">
                  <c:v>166.66666666666666</c:v>
                </c:pt>
                <c:pt idx="10">
                  <c:v>168.33333333333334</c:v>
                </c:pt>
                <c:pt idx="11">
                  <c:v>170</c:v>
                </c:pt>
                <c:pt idx="12">
                  <c:v>171.66666666666666</c:v>
                </c:pt>
                <c:pt idx="13">
                  <c:v>173.33333333333334</c:v>
                </c:pt>
                <c:pt idx="14">
                  <c:v>175</c:v>
                </c:pt>
                <c:pt idx="15">
                  <c:v>176.66666666666666</c:v>
                </c:pt>
                <c:pt idx="16">
                  <c:v>178.33333333333334</c:v>
                </c:pt>
                <c:pt idx="17">
                  <c:v>180</c:v>
                </c:pt>
                <c:pt idx="18">
                  <c:v>181.66666666666666</c:v>
                </c:pt>
                <c:pt idx="19">
                  <c:v>183.33333333333334</c:v>
                </c:pt>
                <c:pt idx="20">
                  <c:v>185</c:v>
                </c:pt>
                <c:pt idx="21">
                  <c:v>186.66666666666666</c:v>
                </c:pt>
                <c:pt idx="22">
                  <c:v>188.33333333333334</c:v>
                </c:pt>
                <c:pt idx="23">
                  <c:v>190</c:v>
                </c:pt>
                <c:pt idx="24">
                  <c:v>191.66666666666666</c:v>
                </c:pt>
                <c:pt idx="25">
                  <c:v>193.33333333333334</c:v>
                </c:pt>
                <c:pt idx="26">
                  <c:v>195</c:v>
                </c:pt>
                <c:pt idx="27">
                  <c:v>196.66666666666666</c:v>
                </c:pt>
                <c:pt idx="28">
                  <c:v>198.33333333333334</c:v>
                </c:pt>
                <c:pt idx="29">
                  <c:v>200</c:v>
                </c:pt>
                <c:pt idx="30">
                  <c:v>201.66666666666666</c:v>
                </c:pt>
                <c:pt idx="31">
                  <c:v>203.33333333333334</c:v>
                </c:pt>
                <c:pt idx="32">
                  <c:v>205</c:v>
                </c:pt>
                <c:pt idx="33">
                  <c:v>206.66666666666666</c:v>
                </c:pt>
                <c:pt idx="34">
                  <c:v>208.33333333333334</c:v>
                </c:pt>
                <c:pt idx="35">
                  <c:v>210</c:v>
                </c:pt>
                <c:pt idx="36">
                  <c:v>211.66666666666666</c:v>
                </c:pt>
                <c:pt idx="37">
                  <c:v>213.33333333333334</c:v>
                </c:pt>
                <c:pt idx="38">
                  <c:v>215</c:v>
                </c:pt>
                <c:pt idx="39">
                  <c:v>216.66666666666669</c:v>
                </c:pt>
                <c:pt idx="40">
                  <c:v>218.33333333333331</c:v>
                </c:pt>
                <c:pt idx="41">
                  <c:v>220</c:v>
                </c:pt>
                <c:pt idx="42">
                  <c:v>221.66666666666669</c:v>
                </c:pt>
                <c:pt idx="43">
                  <c:v>223.33333333333331</c:v>
                </c:pt>
                <c:pt idx="44">
                  <c:v>225</c:v>
                </c:pt>
                <c:pt idx="45">
                  <c:v>226.66666666666669</c:v>
                </c:pt>
                <c:pt idx="46">
                  <c:v>228.33333333333331</c:v>
                </c:pt>
                <c:pt idx="47">
                  <c:v>230</c:v>
                </c:pt>
                <c:pt idx="48">
                  <c:v>231.66666666666669</c:v>
                </c:pt>
                <c:pt idx="49">
                  <c:v>233.33333333333331</c:v>
                </c:pt>
                <c:pt idx="50">
                  <c:v>235</c:v>
                </c:pt>
                <c:pt idx="51">
                  <c:v>236.66666666666669</c:v>
                </c:pt>
                <c:pt idx="52">
                  <c:v>238.33333333333331</c:v>
                </c:pt>
                <c:pt idx="53">
                  <c:v>240</c:v>
                </c:pt>
                <c:pt idx="54">
                  <c:v>241.66666666666669</c:v>
                </c:pt>
                <c:pt idx="55">
                  <c:v>243.33333333333331</c:v>
                </c:pt>
                <c:pt idx="56">
                  <c:v>245</c:v>
                </c:pt>
                <c:pt idx="57">
                  <c:v>246.66666666666669</c:v>
                </c:pt>
                <c:pt idx="58">
                  <c:v>248.33333333333331</c:v>
                </c:pt>
                <c:pt idx="59">
                  <c:v>250</c:v>
                </c:pt>
                <c:pt idx="60">
                  <c:v>251.66666666666669</c:v>
                </c:pt>
                <c:pt idx="61">
                  <c:v>253.33333333333331</c:v>
                </c:pt>
                <c:pt idx="62">
                  <c:v>255</c:v>
                </c:pt>
                <c:pt idx="63">
                  <c:v>256.66666666666669</c:v>
                </c:pt>
                <c:pt idx="64">
                  <c:v>258.33333333333331</c:v>
                </c:pt>
                <c:pt idx="65">
                  <c:v>260</c:v>
                </c:pt>
                <c:pt idx="66">
                  <c:v>261.66666666666669</c:v>
                </c:pt>
                <c:pt idx="67">
                  <c:v>263.33333333333331</c:v>
                </c:pt>
                <c:pt idx="68">
                  <c:v>265</c:v>
                </c:pt>
                <c:pt idx="69">
                  <c:v>266.66666666666669</c:v>
                </c:pt>
                <c:pt idx="70">
                  <c:v>268.33333333333331</c:v>
                </c:pt>
                <c:pt idx="71">
                  <c:v>270</c:v>
                </c:pt>
                <c:pt idx="72">
                  <c:v>271.66666666666669</c:v>
                </c:pt>
                <c:pt idx="73">
                  <c:v>273.33333333333331</c:v>
                </c:pt>
                <c:pt idx="74">
                  <c:v>275</c:v>
                </c:pt>
                <c:pt idx="75">
                  <c:v>276.66666666666669</c:v>
                </c:pt>
                <c:pt idx="76">
                  <c:v>278.33333333333337</c:v>
                </c:pt>
                <c:pt idx="77">
                  <c:v>280</c:v>
                </c:pt>
                <c:pt idx="78">
                  <c:v>281.66666666666663</c:v>
                </c:pt>
                <c:pt idx="79">
                  <c:v>283.33333333333337</c:v>
                </c:pt>
              </c:numCache>
            </c:numRef>
          </c:val>
          <c:smooth val="0"/>
          <c:extLst>
            <c:ext xmlns:c16="http://schemas.microsoft.com/office/drawing/2014/chart" uri="{C3380CC4-5D6E-409C-BE32-E72D297353CC}">
              <c16:uniqueId val="{00000000-461F-E54E-8A53-F0D196AB40C5}"/>
            </c:ext>
          </c:extLst>
        </c:ser>
        <c:ser>
          <c:idx val="1"/>
          <c:order val="1"/>
          <c:tx>
            <c:strRef>
              <c:f>'B4. AGENT BREAK EVEN'!$I$63</c:f>
              <c:strCache>
                <c:ptCount val="1"/>
                <c:pt idx="0">
                  <c:v>Revenue</c:v>
                </c:pt>
              </c:strCache>
            </c:strRef>
          </c:tx>
          <c:spPr>
            <a:ln w="28575" cap="rnd">
              <a:solidFill>
                <a:schemeClr val="accent2"/>
              </a:solidFill>
              <a:round/>
            </a:ln>
            <a:effectLst/>
          </c:spPr>
          <c:marker>
            <c:symbol val="none"/>
          </c:marker>
          <c:cat>
            <c:numRef>
              <c:f>'B4. AGENT BREAK EVEN'!$E$64:$E$143</c:f>
              <c:numCache>
                <c:formatCode>_(* #,##0_);_(* \(#,##0\);_(* "-"??_);_(@_)</c:formatCode>
                <c:ptCount val="80"/>
                <c:pt idx="0">
                  <c:v>50</c:v>
                </c:pt>
                <c:pt idx="1">
                  <c:v>100</c:v>
                </c:pt>
                <c:pt idx="2">
                  <c:v>150</c:v>
                </c:pt>
                <c:pt idx="3">
                  <c:v>200</c:v>
                </c:pt>
                <c:pt idx="4">
                  <c:v>250</c:v>
                </c:pt>
                <c:pt idx="5">
                  <c:v>300</c:v>
                </c:pt>
                <c:pt idx="6">
                  <c:v>350</c:v>
                </c:pt>
                <c:pt idx="7">
                  <c:v>400</c:v>
                </c:pt>
                <c:pt idx="8">
                  <c:v>450</c:v>
                </c:pt>
                <c:pt idx="9">
                  <c:v>500</c:v>
                </c:pt>
                <c:pt idx="10">
                  <c:v>550</c:v>
                </c:pt>
                <c:pt idx="11">
                  <c:v>600</c:v>
                </c:pt>
                <c:pt idx="12">
                  <c:v>650</c:v>
                </c:pt>
                <c:pt idx="13">
                  <c:v>700</c:v>
                </c:pt>
                <c:pt idx="14">
                  <c:v>750</c:v>
                </c:pt>
                <c:pt idx="15">
                  <c:v>800</c:v>
                </c:pt>
                <c:pt idx="16">
                  <c:v>850</c:v>
                </c:pt>
                <c:pt idx="17">
                  <c:v>900</c:v>
                </c:pt>
                <c:pt idx="18">
                  <c:v>950</c:v>
                </c:pt>
                <c:pt idx="19">
                  <c:v>1000</c:v>
                </c:pt>
                <c:pt idx="20">
                  <c:v>1050</c:v>
                </c:pt>
                <c:pt idx="21">
                  <c:v>1100</c:v>
                </c:pt>
                <c:pt idx="22">
                  <c:v>1150</c:v>
                </c:pt>
                <c:pt idx="23">
                  <c:v>1200</c:v>
                </c:pt>
                <c:pt idx="24">
                  <c:v>1250</c:v>
                </c:pt>
                <c:pt idx="25">
                  <c:v>1300</c:v>
                </c:pt>
                <c:pt idx="26">
                  <c:v>1350</c:v>
                </c:pt>
                <c:pt idx="27">
                  <c:v>1400</c:v>
                </c:pt>
                <c:pt idx="28">
                  <c:v>1450</c:v>
                </c:pt>
                <c:pt idx="29">
                  <c:v>1500</c:v>
                </c:pt>
                <c:pt idx="30">
                  <c:v>1550</c:v>
                </c:pt>
                <c:pt idx="31">
                  <c:v>1600</c:v>
                </c:pt>
                <c:pt idx="32">
                  <c:v>1650</c:v>
                </c:pt>
                <c:pt idx="33">
                  <c:v>1700</c:v>
                </c:pt>
                <c:pt idx="34">
                  <c:v>1750</c:v>
                </c:pt>
                <c:pt idx="35">
                  <c:v>1800</c:v>
                </c:pt>
                <c:pt idx="36">
                  <c:v>1850</c:v>
                </c:pt>
                <c:pt idx="37">
                  <c:v>1900</c:v>
                </c:pt>
                <c:pt idx="38">
                  <c:v>1950</c:v>
                </c:pt>
                <c:pt idx="39">
                  <c:v>2000</c:v>
                </c:pt>
                <c:pt idx="40">
                  <c:v>2050</c:v>
                </c:pt>
                <c:pt idx="41">
                  <c:v>2100</c:v>
                </c:pt>
                <c:pt idx="42">
                  <c:v>2150</c:v>
                </c:pt>
                <c:pt idx="43">
                  <c:v>2200</c:v>
                </c:pt>
                <c:pt idx="44">
                  <c:v>2250</c:v>
                </c:pt>
                <c:pt idx="45">
                  <c:v>2300</c:v>
                </c:pt>
                <c:pt idx="46">
                  <c:v>2350</c:v>
                </c:pt>
                <c:pt idx="47">
                  <c:v>2400</c:v>
                </c:pt>
                <c:pt idx="48">
                  <c:v>2450</c:v>
                </c:pt>
                <c:pt idx="49">
                  <c:v>2500</c:v>
                </c:pt>
                <c:pt idx="50">
                  <c:v>2550</c:v>
                </c:pt>
                <c:pt idx="51">
                  <c:v>2600</c:v>
                </c:pt>
                <c:pt idx="52">
                  <c:v>2650</c:v>
                </c:pt>
                <c:pt idx="53">
                  <c:v>2700</c:v>
                </c:pt>
                <c:pt idx="54">
                  <c:v>2750</c:v>
                </c:pt>
                <c:pt idx="55">
                  <c:v>2800</c:v>
                </c:pt>
                <c:pt idx="56">
                  <c:v>2850</c:v>
                </c:pt>
                <c:pt idx="57">
                  <c:v>2900</c:v>
                </c:pt>
                <c:pt idx="58">
                  <c:v>2950</c:v>
                </c:pt>
                <c:pt idx="59">
                  <c:v>3000</c:v>
                </c:pt>
                <c:pt idx="60">
                  <c:v>3050</c:v>
                </c:pt>
                <c:pt idx="61">
                  <c:v>3100</c:v>
                </c:pt>
                <c:pt idx="62">
                  <c:v>3150</c:v>
                </c:pt>
                <c:pt idx="63">
                  <c:v>3200</c:v>
                </c:pt>
                <c:pt idx="64">
                  <c:v>3250</c:v>
                </c:pt>
                <c:pt idx="65">
                  <c:v>3300</c:v>
                </c:pt>
                <c:pt idx="66">
                  <c:v>3350</c:v>
                </c:pt>
                <c:pt idx="67">
                  <c:v>3400</c:v>
                </c:pt>
                <c:pt idx="68">
                  <c:v>3450</c:v>
                </c:pt>
                <c:pt idx="69">
                  <c:v>3500</c:v>
                </c:pt>
                <c:pt idx="70">
                  <c:v>3550</c:v>
                </c:pt>
                <c:pt idx="71">
                  <c:v>3600</c:v>
                </c:pt>
                <c:pt idx="72">
                  <c:v>3650</c:v>
                </c:pt>
                <c:pt idx="73">
                  <c:v>3700</c:v>
                </c:pt>
                <c:pt idx="74">
                  <c:v>3750</c:v>
                </c:pt>
                <c:pt idx="75">
                  <c:v>3800</c:v>
                </c:pt>
                <c:pt idx="76">
                  <c:v>3850</c:v>
                </c:pt>
                <c:pt idx="77">
                  <c:v>3900</c:v>
                </c:pt>
                <c:pt idx="78">
                  <c:v>3950</c:v>
                </c:pt>
                <c:pt idx="79">
                  <c:v>4000</c:v>
                </c:pt>
              </c:numCache>
            </c:numRef>
          </c:cat>
          <c:val>
            <c:numRef>
              <c:f>'B4. AGENT BREAK EVEN'!$I$64:$I$143</c:f>
              <c:numCache>
                <c:formatCode>_("$"* #,##0_);_("$"* \(#,##0\);_("$"* "-"??_);_(@_)</c:formatCode>
                <c:ptCount val="80"/>
                <c:pt idx="0">
                  <c:v>8.7299999999999986</c:v>
                </c:pt>
                <c:pt idx="1">
                  <c:v>17.459999999999997</c:v>
                </c:pt>
                <c:pt idx="2">
                  <c:v>26.189999999999998</c:v>
                </c:pt>
                <c:pt idx="3">
                  <c:v>34.919999999999995</c:v>
                </c:pt>
                <c:pt idx="4">
                  <c:v>43.649999999999991</c:v>
                </c:pt>
                <c:pt idx="5">
                  <c:v>52.379999999999995</c:v>
                </c:pt>
                <c:pt idx="6">
                  <c:v>61.109999999999992</c:v>
                </c:pt>
                <c:pt idx="7">
                  <c:v>69.839999999999989</c:v>
                </c:pt>
                <c:pt idx="8">
                  <c:v>78.569999999999993</c:v>
                </c:pt>
                <c:pt idx="9">
                  <c:v>87.299999999999983</c:v>
                </c:pt>
                <c:pt idx="10">
                  <c:v>96.029999999999987</c:v>
                </c:pt>
                <c:pt idx="11">
                  <c:v>104.75999999999999</c:v>
                </c:pt>
                <c:pt idx="12">
                  <c:v>113.48999999999998</c:v>
                </c:pt>
                <c:pt idx="13">
                  <c:v>122.21999999999998</c:v>
                </c:pt>
                <c:pt idx="14">
                  <c:v>130.94999999999999</c:v>
                </c:pt>
                <c:pt idx="15">
                  <c:v>139.67999999999998</c:v>
                </c:pt>
                <c:pt idx="16">
                  <c:v>148.40999999999997</c:v>
                </c:pt>
                <c:pt idx="17">
                  <c:v>157.13999999999999</c:v>
                </c:pt>
                <c:pt idx="18">
                  <c:v>165.86999999999998</c:v>
                </c:pt>
                <c:pt idx="19">
                  <c:v>174.59999999999997</c:v>
                </c:pt>
                <c:pt idx="20">
                  <c:v>183.32999999999998</c:v>
                </c:pt>
                <c:pt idx="21">
                  <c:v>192.05999999999997</c:v>
                </c:pt>
                <c:pt idx="22">
                  <c:v>200.78999999999996</c:v>
                </c:pt>
                <c:pt idx="23">
                  <c:v>209.51999999999998</c:v>
                </c:pt>
                <c:pt idx="24">
                  <c:v>218.24999999999997</c:v>
                </c:pt>
                <c:pt idx="25">
                  <c:v>226.97999999999996</c:v>
                </c:pt>
                <c:pt idx="26">
                  <c:v>235.70999999999998</c:v>
                </c:pt>
                <c:pt idx="27">
                  <c:v>244.43999999999997</c:v>
                </c:pt>
                <c:pt idx="28">
                  <c:v>253.16999999999996</c:v>
                </c:pt>
                <c:pt idx="29">
                  <c:v>261.89999999999998</c:v>
                </c:pt>
                <c:pt idx="30">
                  <c:v>270.62999999999994</c:v>
                </c:pt>
                <c:pt idx="31">
                  <c:v>279.35999999999996</c:v>
                </c:pt>
                <c:pt idx="32">
                  <c:v>288.08999999999997</c:v>
                </c:pt>
                <c:pt idx="33">
                  <c:v>296.81999999999994</c:v>
                </c:pt>
                <c:pt idx="34">
                  <c:v>305.54999999999995</c:v>
                </c:pt>
                <c:pt idx="35">
                  <c:v>314.27999999999997</c:v>
                </c:pt>
                <c:pt idx="36">
                  <c:v>323.00999999999993</c:v>
                </c:pt>
                <c:pt idx="37">
                  <c:v>331.73999999999995</c:v>
                </c:pt>
                <c:pt idx="38">
                  <c:v>340.46999999999997</c:v>
                </c:pt>
                <c:pt idx="39">
                  <c:v>349.19999999999993</c:v>
                </c:pt>
                <c:pt idx="40">
                  <c:v>357.92999999999995</c:v>
                </c:pt>
                <c:pt idx="41">
                  <c:v>366.65999999999997</c:v>
                </c:pt>
                <c:pt idx="42">
                  <c:v>375.38999999999993</c:v>
                </c:pt>
                <c:pt idx="43">
                  <c:v>384.11999999999995</c:v>
                </c:pt>
                <c:pt idx="44">
                  <c:v>392.84999999999997</c:v>
                </c:pt>
                <c:pt idx="45">
                  <c:v>401.57999999999993</c:v>
                </c:pt>
                <c:pt idx="46">
                  <c:v>410.30999999999995</c:v>
                </c:pt>
                <c:pt idx="47">
                  <c:v>419.03999999999996</c:v>
                </c:pt>
                <c:pt idx="48">
                  <c:v>427.76999999999992</c:v>
                </c:pt>
                <c:pt idx="49">
                  <c:v>436.49999999999994</c:v>
                </c:pt>
                <c:pt idx="50">
                  <c:v>445.22999999999996</c:v>
                </c:pt>
                <c:pt idx="51">
                  <c:v>453.95999999999992</c:v>
                </c:pt>
                <c:pt idx="52">
                  <c:v>462.68999999999994</c:v>
                </c:pt>
                <c:pt idx="53">
                  <c:v>471.41999999999996</c:v>
                </c:pt>
                <c:pt idx="54">
                  <c:v>480.14999999999992</c:v>
                </c:pt>
                <c:pt idx="55">
                  <c:v>488.87999999999994</c:v>
                </c:pt>
                <c:pt idx="56">
                  <c:v>497.60999999999996</c:v>
                </c:pt>
                <c:pt idx="57">
                  <c:v>506.33999999999992</c:v>
                </c:pt>
                <c:pt idx="58">
                  <c:v>515.06999999999994</c:v>
                </c:pt>
                <c:pt idx="59">
                  <c:v>523.79999999999995</c:v>
                </c:pt>
                <c:pt idx="60">
                  <c:v>532.53</c:v>
                </c:pt>
                <c:pt idx="61">
                  <c:v>541.25999999999988</c:v>
                </c:pt>
                <c:pt idx="62">
                  <c:v>549.9899999999999</c:v>
                </c:pt>
                <c:pt idx="63">
                  <c:v>558.71999999999991</c:v>
                </c:pt>
                <c:pt idx="64">
                  <c:v>567.44999999999993</c:v>
                </c:pt>
                <c:pt idx="65">
                  <c:v>576.17999999999995</c:v>
                </c:pt>
                <c:pt idx="66">
                  <c:v>584.91</c:v>
                </c:pt>
                <c:pt idx="67">
                  <c:v>593.63999999999987</c:v>
                </c:pt>
                <c:pt idx="68">
                  <c:v>602.36999999999989</c:v>
                </c:pt>
                <c:pt idx="69">
                  <c:v>611.09999999999991</c:v>
                </c:pt>
                <c:pt idx="70">
                  <c:v>619.82999999999993</c:v>
                </c:pt>
                <c:pt idx="71">
                  <c:v>628.55999999999995</c:v>
                </c:pt>
                <c:pt idx="72">
                  <c:v>637.29</c:v>
                </c:pt>
                <c:pt idx="73">
                  <c:v>646.01999999999987</c:v>
                </c:pt>
                <c:pt idx="74">
                  <c:v>654.74999999999989</c:v>
                </c:pt>
                <c:pt idx="75">
                  <c:v>663.4799999999999</c:v>
                </c:pt>
                <c:pt idx="76">
                  <c:v>672.20999999999992</c:v>
                </c:pt>
                <c:pt idx="77">
                  <c:v>680.93999999999994</c:v>
                </c:pt>
                <c:pt idx="78">
                  <c:v>689.67</c:v>
                </c:pt>
                <c:pt idx="79">
                  <c:v>698.39999999999986</c:v>
                </c:pt>
              </c:numCache>
            </c:numRef>
          </c:val>
          <c:smooth val="0"/>
          <c:extLst>
            <c:ext xmlns:c16="http://schemas.microsoft.com/office/drawing/2014/chart" uri="{C3380CC4-5D6E-409C-BE32-E72D297353CC}">
              <c16:uniqueId val="{00000001-461F-E54E-8A53-F0D196AB40C5}"/>
            </c:ext>
          </c:extLst>
        </c:ser>
        <c:dLbls>
          <c:showLegendKey val="0"/>
          <c:showVal val="0"/>
          <c:showCatName val="0"/>
          <c:showSerName val="0"/>
          <c:showPercent val="0"/>
          <c:showBubbleSize val="0"/>
        </c:dLbls>
        <c:smooth val="0"/>
        <c:axId val="1799923296"/>
        <c:axId val="1801083040"/>
      </c:lineChart>
      <c:catAx>
        <c:axId val="1799923296"/>
        <c:scaling>
          <c:orientation val="minMax"/>
        </c:scaling>
        <c:delete val="0"/>
        <c:axPos val="b"/>
        <c:numFmt formatCode="_(* #,##0_);_(* \(#,##0\);_(* &quot;-&quot;??_);_(@_)"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801083040"/>
        <c:crosses val="autoZero"/>
        <c:auto val="1"/>
        <c:lblAlgn val="ctr"/>
        <c:lblOffset val="100"/>
        <c:noMultiLvlLbl val="0"/>
      </c:catAx>
      <c:valAx>
        <c:axId val="180108304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9923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7">
  <a:schemeClr val="accent4"/>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0</xdr:row>
      <xdr:rowOff>134239</xdr:rowOff>
    </xdr:from>
    <xdr:to>
      <xdr:col>1</xdr:col>
      <xdr:colOff>2127250</xdr:colOff>
      <xdr:row>4</xdr:row>
      <xdr:rowOff>65539</xdr:rowOff>
    </xdr:to>
    <xdr:pic>
      <xdr:nvPicPr>
        <xdr:cNvPr id="4" name="Picture 3">
          <a:extLst>
            <a:ext uri="{FF2B5EF4-FFF2-40B4-BE49-F238E27FC236}">
              <a16:creationId xmlns:a16="http://schemas.microsoft.com/office/drawing/2014/main" id="{1A6EB2B2-FF2B-4CDA-8BB8-6E921902E5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2100" y="134239"/>
          <a:ext cx="2114550" cy="667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203200</xdr:colOff>
      <xdr:row>16</xdr:row>
      <xdr:rowOff>175687</xdr:rowOff>
    </xdr:from>
    <xdr:to>
      <xdr:col>8</xdr:col>
      <xdr:colOff>158750</xdr:colOff>
      <xdr:row>31</xdr:row>
      <xdr:rowOff>182036</xdr:rowOff>
    </xdr:to>
    <xdr:graphicFrame macro="">
      <xdr:nvGraphicFramePr>
        <xdr:cNvPr id="2" name="Chart 1">
          <a:extLst>
            <a:ext uri="{FF2B5EF4-FFF2-40B4-BE49-F238E27FC236}">
              <a16:creationId xmlns:a16="http://schemas.microsoft.com/office/drawing/2014/main" id="{2015B8F1-823F-4D76-B97E-A713DB44A0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220133</xdr:colOff>
      <xdr:row>1</xdr:row>
      <xdr:rowOff>69852</xdr:rowOff>
    </xdr:from>
    <xdr:to>
      <xdr:col>8</xdr:col>
      <xdr:colOff>154516</xdr:colOff>
      <xdr:row>15</xdr:row>
      <xdr:rowOff>158753</xdr:rowOff>
    </xdr:to>
    <xdr:graphicFrame macro="">
      <xdr:nvGraphicFramePr>
        <xdr:cNvPr id="3" name="Chart 2">
          <a:extLst>
            <a:ext uri="{FF2B5EF4-FFF2-40B4-BE49-F238E27FC236}">
              <a16:creationId xmlns:a16="http://schemas.microsoft.com/office/drawing/2014/main" id="{E3725CB3-5D37-4679-AF75-B3DFE8B1B1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397934</xdr:colOff>
      <xdr:row>1</xdr:row>
      <xdr:rowOff>69850</xdr:rowOff>
    </xdr:from>
    <xdr:to>
      <xdr:col>16</xdr:col>
      <xdr:colOff>57149</xdr:colOff>
      <xdr:row>15</xdr:row>
      <xdr:rowOff>158753</xdr:rowOff>
    </xdr:to>
    <xdr:graphicFrame macro="">
      <xdr:nvGraphicFramePr>
        <xdr:cNvPr id="4" name="Chart 3">
          <a:extLst>
            <a:ext uri="{FF2B5EF4-FFF2-40B4-BE49-F238E27FC236}">
              <a16:creationId xmlns:a16="http://schemas.microsoft.com/office/drawing/2014/main" id="{2B44814B-2D0D-4BE2-8441-97FE1385D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412750</xdr:colOff>
      <xdr:row>16</xdr:row>
      <xdr:rowOff>194737</xdr:rowOff>
    </xdr:from>
    <xdr:to>
      <xdr:col>16</xdr:col>
      <xdr:colOff>368300</xdr:colOff>
      <xdr:row>32</xdr:row>
      <xdr:rowOff>4236</xdr:rowOff>
    </xdr:to>
    <xdr:graphicFrame macro="">
      <xdr:nvGraphicFramePr>
        <xdr:cNvPr id="5" name="Chart 4">
          <a:extLst>
            <a:ext uri="{FF2B5EF4-FFF2-40B4-BE49-F238E27FC236}">
              <a16:creationId xmlns:a16="http://schemas.microsoft.com/office/drawing/2014/main" id="{5AF9390A-7CE9-4E94-B67C-EED5FF10D9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413394</xdr:colOff>
      <xdr:row>18</xdr:row>
      <xdr:rowOff>83700</xdr:rowOff>
    </xdr:to>
    <xdr:graphicFrame macro="">
      <xdr:nvGraphicFramePr>
        <xdr:cNvPr id="2" name="Chart 1">
          <a:extLst>
            <a:ext uri="{FF2B5EF4-FFF2-40B4-BE49-F238E27FC236}">
              <a16:creationId xmlns:a16="http://schemas.microsoft.com/office/drawing/2014/main" id="{FE9C7064-288B-4B3A-A410-3DF1130BDB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582726</xdr:colOff>
      <xdr:row>0</xdr:row>
      <xdr:rowOff>11641</xdr:rowOff>
    </xdr:from>
    <xdr:to>
      <xdr:col>16</xdr:col>
      <xdr:colOff>570027</xdr:colOff>
      <xdr:row>18</xdr:row>
      <xdr:rowOff>83700</xdr:rowOff>
    </xdr:to>
    <xdr:graphicFrame macro="">
      <xdr:nvGraphicFramePr>
        <xdr:cNvPr id="3" name="Chart 2">
          <a:extLst>
            <a:ext uri="{FF2B5EF4-FFF2-40B4-BE49-F238E27FC236}">
              <a16:creationId xmlns:a16="http://schemas.microsoft.com/office/drawing/2014/main" id="{C7F66706-C837-4B87-9CE9-E0ED59FA0D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xdr:row>
      <xdr:rowOff>186268</xdr:rowOff>
    </xdr:from>
    <xdr:to>
      <xdr:col>8</xdr:col>
      <xdr:colOff>374650</xdr:colOff>
      <xdr:row>38</xdr:row>
      <xdr:rowOff>25399</xdr:rowOff>
    </xdr:to>
    <xdr:graphicFrame macro="">
      <xdr:nvGraphicFramePr>
        <xdr:cNvPr id="4" name="Chart 3">
          <a:extLst>
            <a:ext uri="{FF2B5EF4-FFF2-40B4-BE49-F238E27FC236}">
              <a16:creationId xmlns:a16="http://schemas.microsoft.com/office/drawing/2014/main" id="{90F89093-5562-4FB4-B06D-1FEBCB4155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80819</xdr:colOff>
      <xdr:row>9</xdr:row>
      <xdr:rowOff>161636</xdr:rowOff>
    </xdr:from>
    <xdr:to>
      <xdr:col>13</xdr:col>
      <xdr:colOff>542636</xdr:colOff>
      <xdr:row>30</xdr:row>
      <xdr:rowOff>196273</xdr:rowOff>
    </xdr:to>
    <xdr:graphicFrame macro="">
      <xdr:nvGraphicFramePr>
        <xdr:cNvPr id="4" name="Chart 3">
          <a:extLst>
            <a:ext uri="{FF2B5EF4-FFF2-40B4-BE49-F238E27FC236}">
              <a16:creationId xmlns:a16="http://schemas.microsoft.com/office/drawing/2014/main" id="{CCC0A922-2757-174C-9944-B68D9D6E8C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CGAP">
      <a:dk1>
        <a:srgbClr val="000000"/>
      </a:dk1>
      <a:lt1>
        <a:sysClr val="window" lastClr="FFFFFF"/>
      </a:lt1>
      <a:dk2>
        <a:srgbClr val="004459"/>
      </a:dk2>
      <a:lt2>
        <a:srgbClr val="E7E6E6"/>
      </a:lt2>
      <a:accent1>
        <a:srgbClr val="004459"/>
      </a:accent1>
      <a:accent2>
        <a:srgbClr val="B55400"/>
      </a:accent2>
      <a:accent3>
        <a:srgbClr val="6693BC"/>
      </a:accent3>
      <a:accent4>
        <a:srgbClr val="BAC405"/>
      </a:accent4>
      <a:accent5>
        <a:srgbClr val="FCB514"/>
      </a:accent5>
      <a:accent6>
        <a:srgbClr val="E2DBAA"/>
      </a:accent6>
      <a:hlink>
        <a:srgbClr val="BAC405"/>
      </a:hlink>
      <a:folHlink>
        <a:srgbClr val="A5A5A5"/>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hyperlink" Target="https://www.ifc.org/wps/wcm/connect/be4c9b804a1b7ad991ccfddd29332b51/Tool+10.5.+Liquidity+Management.pdf?MOD=AJPERES" TargetMode="External"/><Relationship Id="rId1" Type="http://schemas.openxmlformats.org/officeDocument/2006/relationships/hyperlink" Target="http://beta.mtn.co.ug/Downloads/Liquidity%20Management.pdf"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B37"/>
  <sheetViews>
    <sheetView showGridLines="0" tabSelected="1" zoomScaleNormal="100" zoomScalePageLayoutView="110" workbookViewId="0"/>
  </sheetViews>
  <sheetFormatPr baseColWidth="10" defaultColWidth="10.83203125" defaultRowHeight="15"/>
  <cols>
    <col min="1" max="1" width="3.6640625" style="83" customWidth="1"/>
    <col min="2" max="2" width="105.33203125" style="96" customWidth="1"/>
    <col min="3" max="3" width="15.83203125" style="84" customWidth="1"/>
    <col min="4" max="16384" width="10.83203125" style="84"/>
  </cols>
  <sheetData>
    <row r="6" spans="1:2" ht="48">
      <c r="B6" s="204" t="s">
        <v>109</v>
      </c>
    </row>
    <row r="7" spans="1:2">
      <c r="B7" s="199"/>
    </row>
    <row r="8" spans="1:2" s="86" customFormat="1" ht="19">
      <c r="A8" s="85"/>
      <c r="B8" s="200" t="s">
        <v>35</v>
      </c>
    </row>
    <row r="9" spans="1:2" s="88" customFormat="1" ht="48">
      <c r="A9" s="87"/>
      <c r="B9" s="201" t="s">
        <v>133</v>
      </c>
    </row>
    <row r="10" spans="1:2" s="88" customFormat="1" ht="17">
      <c r="A10" s="87"/>
      <c r="B10" s="202"/>
    </row>
    <row r="11" spans="1:2" s="88" customFormat="1" ht="17">
      <c r="A11" s="87"/>
      <c r="B11" s="203" t="s">
        <v>36</v>
      </c>
    </row>
    <row r="12" spans="1:2" ht="80">
      <c r="B12" s="201" t="s">
        <v>134</v>
      </c>
    </row>
    <row r="13" spans="1:2">
      <c r="B13" s="111"/>
    </row>
    <row r="14" spans="1:2" s="86" customFormat="1" ht="19">
      <c r="A14" s="85"/>
    </row>
    <row r="15" spans="1:2" s="86" customFormat="1" ht="19">
      <c r="A15" s="85"/>
    </row>
    <row r="16" spans="1:2" s="86" customFormat="1" ht="19">
      <c r="A16" s="85"/>
    </row>
    <row r="17" spans="1:2" s="86" customFormat="1" ht="19">
      <c r="A17" s="85"/>
    </row>
    <row r="18" spans="1:2" s="90" customFormat="1" ht="19">
      <c r="A18" s="89"/>
    </row>
    <row r="19" spans="1:2" s="93" customFormat="1" ht="16">
      <c r="A19" s="91"/>
    </row>
    <row r="20" spans="1:2" s="93" customFormat="1" ht="16">
      <c r="A20" s="91"/>
    </row>
    <row r="21" spans="1:2" s="90" customFormat="1" ht="16">
      <c r="A21" s="94"/>
    </row>
    <row r="22" spans="1:2" s="93" customFormat="1" ht="16">
      <c r="A22" s="91"/>
    </row>
    <row r="23" spans="1:2" s="93" customFormat="1" ht="16">
      <c r="A23" s="91"/>
    </row>
    <row r="24" spans="1:2" s="90" customFormat="1" ht="16">
      <c r="A24" s="94"/>
    </row>
    <row r="25" spans="1:2" s="93" customFormat="1" ht="16">
      <c r="A25" s="91"/>
    </row>
    <row r="26" spans="1:2" s="93" customFormat="1" ht="16">
      <c r="A26" s="91"/>
    </row>
    <row r="27" spans="1:2" s="90" customFormat="1" ht="16">
      <c r="A27" s="94"/>
    </row>
    <row r="28" spans="1:2" s="93" customFormat="1" ht="16">
      <c r="A28" s="91"/>
    </row>
    <row r="29" spans="1:2" s="93" customFormat="1" ht="16">
      <c r="A29" s="91"/>
    </row>
    <row r="30" spans="1:2" s="90" customFormat="1" ht="16">
      <c r="A30" s="94"/>
    </row>
    <row r="31" spans="1:2" s="93" customFormat="1" ht="16">
      <c r="A31" s="91"/>
    </row>
    <row r="32" spans="1:2" s="93" customFormat="1" ht="16">
      <c r="A32" s="91"/>
      <c r="B32" s="92"/>
    </row>
    <row r="33" spans="1:2" s="90" customFormat="1" ht="16">
      <c r="A33" s="94"/>
      <c r="B33" s="95"/>
    </row>
    <row r="34" spans="1:2" s="93" customFormat="1" ht="16">
      <c r="A34" s="91"/>
      <c r="B34" s="92"/>
    </row>
    <row r="35" spans="1:2" s="93" customFormat="1" ht="16">
      <c r="A35" s="91"/>
      <c r="B35" s="92"/>
    </row>
    <row r="36" spans="1:2" s="90" customFormat="1" ht="16">
      <c r="A36" s="94"/>
      <c r="B36" s="95"/>
    </row>
    <row r="37" spans="1:2" s="93" customFormat="1" ht="16">
      <c r="A37" s="91"/>
      <c r="B37" s="9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74"/>
  <sheetViews>
    <sheetView showGridLines="0" zoomScaleNormal="100" zoomScalePageLayoutView="110" workbookViewId="0"/>
  </sheetViews>
  <sheetFormatPr baseColWidth="10" defaultColWidth="11.5" defaultRowHeight="18" thickBottom="1"/>
  <cols>
    <col min="1" max="1" width="5" customWidth="1"/>
    <col min="2" max="2" width="2.83203125" style="197" customWidth="1"/>
    <col min="3" max="3" width="116.5" style="208" customWidth="1"/>
    <col min="4" max="4" width="80.1640625" style="108" customWidth="1"/>
    <col min="5" max="5" width="57.1640625" style="109" customWidth="1"/>
    <col min="6" max="6" width="48.6640625" style="109" customWidth="1"/>
  </cols>
  <sheetData>
    <row r="1" spans="2:18" thickBot="1">
      <c r="B1" s="246" t="s">
        <v>107</v>
      </c>
    </row>
    <row r="2" spans="2:18" s="110" customFormat="1" ht="17">
      <c r="B2" s="193"/>
      <c r="C2" s="208"/>
      <c r="D2" s="116"/>
      <c r="E2" s="117"/>
      <c r="F2" s="117"/>
      <c r="G2" s="115"/>
      <c r="H2" s="115"/>
      <c r="I2" s="115"/>
      <c r="J2" s="115"/>
      <c r="K2" s="115"/>
      <c r="L2" s="115"/>
    </row>
    <row r="3" spans="2:18" s="110" customFormat="1" ht="18" customHeight="1">
      <c r="B3" s="605" t="s">
        <v>108</v>
      </c>
      <c r="C3" s="605"/>
      <c r="D3" s="117"/>
      <c r="E3" s="117"/>
      <c r="F3" s="117"/>
      <c r="G3" s="115"/>
      <c r="H3" s="115"/>
      <c r="I3" s="115"/>
      <c r="J3" s="115"/>
      <c r="K3" s="115"/>
      <c r="L3" s="115"/>
    </row>
    <row r="4" spans="2:18" s="112" customFormat="1" ht="16">
      <c r="B4" s="198" t="s">
        <v>143</v>
      </c>
      <c r="C4" s="209" t="s">
        <v>148</v>
      </c>
      <c r="D4" s="145"/>
      <c r="E4" s="145"/>
      <c r="F4" s="145"/>
      <c r="G4" s="142"/>
      <c r="H4" s="142"/>
      <c r="I4" s="142"/>
      <c r="J4" s="142"/>
      <c r="K4" s="142"/>
      <c r="L4" s="142"/>
      <c r="M4" s="142"/>
      <c r="N4" s="142"/>
      <c r="O4" s="142"/>
      <c r="P4" s="142"/>
      <c r="Q4" s="142"/>
      <c r="R4" s="142"/>
    </row>
    <row r="5" spans="2:18" s="112" customFormat="1" ht="16">
      <c r="B5" s="198" t="s">
        <v>143</v>
      </c>
      <c r="C5" s="210" t="s">
        <v>160</v>
      </c>
      <c r="D5" s="145"/>
      <c r="E5" s="611"/>
      <c r="F5" s="611"/>
      <c r="G5" s="142"/>
      <c r="H5" s="142"/>
      <c r="I5" s="142"/>
      <c r="J5" s="142"/>
      <c r="K5" s="142"/>
      <c r="L5" s="142"/>
      <c r="M5" s="142"/>
      <c r="N5" s="142"/>
      <c r="O5" s="142"/>
      <c r="P5" s="142"/>
      <c r="Q5" s="142"/>
      <c r="R5" s="142"/>
    </row>
    <row r="6" spans="2:18" s="112" customFormat="1" ht="16">
      <c r="B6" s="198" t="s">
        <v>143</v>
      </c>
      <c r="C6" s="210" t="s">
        <v>161</v>
      </c>
      <c r="D6" s="145"/>
      <c r="E6" s="161"/>
      <c r="F6" s="161"/>
      <c r="G6" s="142"/>
      <c r="H6" s="142"/>
      <c r="I6" s="142"/>
      <c r="J6" s="142"/>
      <c r="K6" s="142"/>
      <c r="L6" s="142"/>
      <c r="M6" s="142"/>
      <c r="N6" s="142"/>
      <c r="O6" s="142"/>
      <c r="P6" s="142"/>
      <c r="Q6" s="142"/>
      <c r="R6" s="142"/>
    </row>
    <row r="7" spans="2:18" s="112" customFormat="1" ht="16">
      <c r="B7" s="198" t="s">
        <v>143</v>
      </c>
      <c r="C7" s="210" t="s">
        <v>162</v>
      </c>
      <c r="D7" s="146"/>
      <c r="E7" s="144"/>
      <c r="F7" s="612"/>
      <c r="G7" s="142"/>
      <c r="H7" s="142"/>
      <c r="I7" s="142"/>
      <c r="J7" s="142"/>
      <c r="K7" s="142"/>
      <c r="L7" s="142"/>
      <c r="M7" s="142"/>
      <c r="N7" s="142"/>
      <c r="O7" s="142"/>
      <c r="P7" s="142"/>
      <c r="Q7" s="142"/>
      <c r="R7" s="142"/>
    </row>
    <row r="8" spans="2:18" ht="16" customHeight="1">
      <c r="B8" s="194"/>
      <c r="C8" s="211"/>
      <c r="D8" s="141"/>
      <c r="E8" s="143"/>
      <c r="F8" s="612"/>
      <c r="G8" s="142"/>
      <c r="H8" s="142"/>
      <c r="I8" s="142"/>
      <c r="J8" s="142"/>
      <c r="K8" s="142"/>
      <c r="L8" s="142"/>
      <c r="M8" s="122"/>
      <c r="N8" s="122"/>
      <c r="O8" s="122"/>
      <c r="P8" s="122"/>
      <c r="Q8" s="122"/>
      <c r="R8" s="122"/>
    </row>
    <row r="9" spans="2:18" ht="17">
      <c r="B9" s="214" t="s">
        <v>102</v>
      </c>
      <c r="C9" s="215"/>
      <c r="D9" s="141"/>
      <c r="E9" s="143"/>
      <c r="F9" s="612"/>
      <c r="G9" s="142"/>
      <c r="H9" s="142"/>
      <c r="I9" s="142"/>
      <c r="J9" s="142"/>
      <c r="K9" s="142"/>
      <c r="L9" s="142"/>
      <c r="M9" s="122"/>
      <c r="N9" s="122"/>
      <c r="O9" s="122"/>
      <c r="P9" s="122"/>
      <c r="Q9" s="122"/>
      <c r="R9" s="122"/>
    </row>
    <row r="10" spans="2:18" ht="30" customHeight="1">
      <c r="B10" s="607" t="s">
        <v>163</v>
      </c>
      <c r="C10" s="607"/>
      <c r="D10" s="141"/>
      <c r="E10" s="143"/>
      <c r="F10" s="612"/>
      <c r="G10" s="142"/>
      <c r="H10" s="142"/>
      <c r="I10" s="142"/>
      <c r="J10" s="142"/>
      <c r="K10" s="142"/>
      <c r="L10" s="142"/>
      <c r="M10" s="122"/>
      <c r="N10" s="122"/>
      <c r="O10" s="122"/>
      <c r="P10" s="122"/>
      <c r="Q10" s="122"/>
      <c r="R10" s="122"/>
    </row>
    <row r="11" spans="2:18" ht="31" customHeight="1">
      <c r="B11" s="198" t="s">
        <v>143</v>
      </c>
      <c r="C11" s="212" t="s">
        <v>144</v>
      </c>
      <c r="D11" s="141"/>
      <c r="E11" s="143"/>
      <c r="F11" s="612"/>
      <c r="G11" s="142"/>
      <c r="H11" s="142"/>
      <c r="I11" s="142"/>
      <c r="J11" s="142"/>
      <c r="K11" s="142"/>
      <c r="L11" s="142"/>
      <c r="M11" s="122"/>
      <c r="N11" s="122"/>
      <c r="O11" s="122"/>
      <c r="P11" s="122"/>
      <c r="Q11" s="122"/>
      <c r="R11" s="122"/>
    </row>
    <row r="12" spans="2:18" ht="66" customHeight="1">
      <c r="B12" s="198" t="s">
        <v>143</v>
      </c>
      <c r="C12" s="212" t="s">
        <v>164</v>
      </c>
      <c r="D12" s="141"/>
      <c r="E12" s="143"/>
      <c r="F12" s="612"/>
      <c r="G12" s="142"/>
      <c r="H12" s="142"/>
      <c r="I12" s="142"/>
      <c r="J12" s="142"/>
      <c r="K12" s="142"/>
      <c r="L12" s="142"/>
      <c r="M12" s="122"/>
      <c r="N12" s="122"/>
      <c r="O12" s="122"/>
      <c r="P12" s="122"/>
      <c r="Q12" s="122"/>
      <c r="R12" s="122"/>
    </row>
    <row r="13" spans="2:18" ht="67" customHeight="1">
      <c r="B13" s="198" t="s">
        <v>143</v>
      </c>
      <c r="C13" s="212" t="s">
        <v>145</v>
      </c>
      <c r="D13" s="141"/>
      <c r="E13" s="143"/>
      <c r="F13" s="612"/>
      <c r="G13" s="142"/>
      <c r="H13" s="142"/>
      <c r="I13" s="142"/>
      <c r="J13" s="142"/>
      <c r="K13" s="142"/>
      <c r="L13" s="142"/>
      <c r="M13" s="122"/>
      <c r="N13" s="122"/>
      <c r="O13" s="122"/>
      <c r="P13" s="122"/>
      <c r="Q13" s="122"/>
      <c r="R13" s="122"/>
    </row>
    <row r="14" spans="2:18" ht="31" customHeight="1">
      <c r="B14" s="198" t="s">
        <v>143</v>
      </c>
      <c r="C14" s="212" t="s">
        <v>343</v>
      </c>
      <c r="D14" s="141"/>
      <c r="E14" s="143"/>
      <c r="F14" s="612"/>
      <c r="G14" s="142"/>
      <c r="H14" s="142"/>
      <c r="I14" s="142"/>
      <c r="J14" s="142"/>
      <c r="K14" s="142"/>
      <c r="L14" s="142"/>
      <c r="M14" s="122"/>
      <c r="N14" s="122"/>
      <c r="O14" s="122"/>
      <c r="P14" s="122"/>
      <c r="Q14" s="122"/>
      <c r="R14" s="122"/>
    </row>
    <row r="15" spans="2:18" ht="31" customHeight="1">
      <c r="B15" s="198" t="s">
        <v>143</v>
      </c>
      <c r="C15" s="535" t="s">
        <v>324</v>
      </c>
      <c r="D15" s="141"/>
      <c r="E15" s="143"/>
      <c r="F15" s="612"/>
      <c r="G15" s="142"/>
      <c r="H15" s="142"/>
      <c r="I15" s="142"/>
      <c r="J15" s="142"/>
      <c r="K15" s="142"/>
      <c r="L15" s="142"/>
      <c r="M15" s="122"/>
      <c r="N15" s="122"/>
      <c r="O15" s="122"/>
      <c r="P15" s="122"/>
      <c r="Q15" s="122"/>
      <c r="R15" s="122"/>
    </row>
    <row r="16" spans="2:18" ht="17">
      <c r="B16" s="198" t="s">
        <v>143</v>
      </c>
      <c r="C16" s="212" t="s">
        <v>146</v>
      </c>
      <c r="D16" s="141"/>
      <c r="E16" s="143"/>
      <c r="F16" s="612"/>
      <c r="G16" s="142"/>
      <c r="H16" s="142"/>
      <c r="I16" s="142"/>
      <c r="J16" s="142"/>
      <c r="K16" s="142"/>
      <c r="L16" s="142"/>
      <c r="M16" s="122"/>
      <c r="N16" s="122"/>
      <c r="O16" s="122"/>
      <c r="P16" s="122"/>
      <c r="Q16" s="122"/>
      <c r="R16" s="122"/>
    </row>
    <row r="17" spans="1:18" ht="32">
      <c r="B17" s="198" t="s">
        <v>143</v>
      </c>
      <c r="C17" s="212" t="s">
        <v>147</v>
      </c>
      <c r="D17" s="141"/>
      <c r="E17" s="143"/>
      <c r="F17" s="612"/>
      <c r="G17" s="142"/>
      <c r="H17" s="142"/>
      <c r="I17" s="142"/>
      <c r="J17" s="142"/>
      <c r="K17" s="142"/>
      <c r="L17" s="142"/>
      <c r="M17" s="122"/>
      <c r="N17" s="122"/>
      <c r="O17" s="122"/>
      <c r="P17" s="122"/>
      <c r="Q17" s="122"/>
      <c r="R17" s="122"/>
    </row>
    <row r="18" spans="1:18" ht="16" customHeight="1">
      <c r="B18" s="194"/>
      <c r="C18" s="211"/>
      <c r="D18" s="141"/>
      <c r="E18" s="143"/>
      <c r="F18" s="612"/>
      <c r="G18" s="142"/>
      <c r="H18" s="142"/>
      <c r="I18" s="142"/>
      <c r="J18" s="142"/>
      <c r="K18" s="142"/>
      <c r="L18" s="142"/>
      <c r="M18" s="122"/>
      <c r="N18" s="122"/>
      <c r="O18" s="122"/>
      <c r="P18" s="122"/>
      <c r="Q18" s="122"/>
      <c r="R18" s="122"/>
    </row>
    <row r="19" spans="1:18" ht="16" customHeight="1">
      <c r="B19" s="606" t="s">
        <v>103</v>
      </c>
      <c r="C19" s="606"/>
      <c r="D19" s="141"/>
      <c r="E19" s="143"/>
      <c r="F19" s="612"/>
      <c r="G19" s="142"/>
      <c r="H19" s="142"/>
      <c r="I19" s="142"/>
      <c r="J19" s="142"/>
      <c r="K19" s="142"/>
      <c r="L19" s="142"/>
      <c r="M19" s="122"/>
      <c r="N19" s="122"/>
      <c r="O19" s="122"/>
      <c r="P19" s="122"/>
      <c r="Q19" s="122"/>
      <c r="R19" s="122"/>
    </row>
    <row r="20" spans="1:18" ht="42" customHeight="1">
      <c r="B20" s="609" t="s">
        <v>165</v>
      </c>
      <c r="C20" s="609"/>
      <c r="D20" s="141"/>
      <c r="E20" s="143"/>
      <c r="F20" s="612"/>
      <c r="G20" s="142"/>
      <c r="H20" s="142"/>
      <c r="I20" s="142"/>
      <c r="J20" s="142"/>
      <c r="K20" s="142"/>
      <c r="L20" s="142"/>
      <c r="M20" s="122"/>
      <c r="N20" s="122"/>
      <c r="O20" s="122"/>
      <c r="P20" s="122"/>
      <c r="Q20" s="122"/>
      <c r="R20" s="122"/>
    </row>
    <row r="21" spans="1:18" ht="28" customHeight="1">
      <c r="B21" s="608" t="s">
        <v>325</v>
      </c>
      <c r="C21" s="608"/>
      <c r="D21" s="141"/>
      <c r="E21" s="143"/>
      <c r="F21" s="612"/>
      <c r="G21" s="142"/>
      <c r="H21" s="142"/>
      <c r="I21" s="142"/>
      <c r="J21" s="142"/>
      <c r="K21" s="142"/>
      <c r="L21" s="142"/>
      <c r="M21" s="122"/>
      <c r="N21" s="122"/>
      <c r="O21" s="122"/>
      <c r="P21" s="122"/>
      <c r="Q21" s="122"/>
      <c r="R21" s="122"/>
    </row>
    <row r="22" spans="1:18" ht="17">
      <c r="B22" s="216" t="s">
        <v>143</v>
      </c>
      <c r="C22" s="535" t="s">
        <v>327</v>
      </c>
      <c r="D22" s="141"/>
      <c r="E22" s="143"/>
      <c r="F22" s="612"/>
      <c r="G22" s="142"/>
      <c r="H22" s="142"/>
      <c r="I22" s="142"/>
      <c r="J22" s="142"/>
      <c r="K22" s="142"/>
      <c r="L22" s="142"/>
      <c r="M22" s="122"/>
      <c r="N22" s="122"/>
      <c r="O22" s="122"/>
      <c r="P22" s="122"/>
      <c r="Q22" s="122"/>
      <c r="R22" s="122"/>
    </row>
    <row r="23" spans="1:18" ht="17">
      <c r="B23" s="216" t="s">
        <v>143</v>
      </c>
      <c r="C23" s="535" t="s">
        <v>326</v>
      </c>
      <c r="D23" s="141"/>
      <c r="E23" s="143"/>
      <c r="F23" s="612"/>
      <c r="G23" s="142"/>
      <c r="H23" s="142"/>
      <c r="I23" s="142"/>
      <c r="J23" s="142"/>
      <c r="K23" s="142"/>
      <c r="L23" s="142"/>
      <c r="M23" s="122"/>
      <c r="N23" s="122"/>
      <c r="O23" s="122"/>
      <c r="P23" s="122"/>
      <c r="Q23" s="122"/>
      <c r="R23" s="122"/>
    </row>
    <row r="24" spans="1:18" ht="32">
      <c r="B24" s="216" t="s">
        <v>143</v>
      </c>
      <c r="C24" s="535" t="s">
        <v>328</v>
      </c>
      <c r="D24" s="141"/>
      <c r="E24" s="143"/>
      <c r="F24" s="612"/>
      <c r="G24" s="142"/>
      <c r="H24" s="142"/>
      <c r="I24" s="142"/>
      <c r="J24" s="142"/>
      <c r="K24" s="142"/>
      <c r="L24" s="142"/>
      <c r="M24" s="122"/>
      <c r="N24" s="122"/>
      <c r="O24" s="122"/>
      <c r="P24" s="122"/>
      <c r="Q24" s="122"/>
      <c r="R24" s="122"/>
    </row>
    <row r="25" spans="1:18" ht="17">
      <c r="B25" s="198" t="s">
        <v>143</v>
      </c>
      <c r="C25" s="535" t="s">
        <v>329</v>
      </c>
      <c r="D25" s="141"/>
      <c r="E25" s="143"/>
      <c r="F25" s="612"/>
      <c r="G25" s="142"/>
      <c r="H25" s="142"/>
      <c r="I25" s="142"/>
      <c r="J25" s="142"/>
      <c r="K25" s="142"/>
      <c r="L25" s="142"/>
      <c r="M25" s="122"/>
      <c r="N25" s="122"/>
      <c r="O25" s="122"/>
      <c r="P25" s="122"/>
      <c r="Q25" s="122"/>
      <c r="R25" s="122"/>
    </row>
    <row r="26" spans="1:18" ht="16" customHeight="1">
      <c r="B26" s="198"/>
      <c r="C26" s="212"/>
      <c r="D26" s="141"/>
      <c r="E26" s="143"/>
      <c r="F26" s="612"/>
      <c r="G26" s="142"/>
      <c r="H26" s="142"/>
      <c r="I26" s="142"/>
      <c r="J26" s="142"/>
      <c r="K26" s="142"/>
      <c r="L26" s="142"/>
      <c r="M26" s="122"/>
      <c r="N26" s="122"/>
      <c r="O26" s="122"/>
      <c r="P26" s="122"/>
      <c r="Q26" s="122"/>
      <c r="R26" s="122"/>
    </row>
    <row r="27" spans="1:18" ht="16" customHeight="1">
      <c r="A27" s="217"/>
      <c r="B27" s="606" t="s">
        <v>80</v>
      </c>
      <c r="C27" s="606"/>
      <c r="D27" s="141"/>
      <c r="E27" s="143"/>
      <c r="F27" s="612"/>
      <c r="G27" s="142"/>
      <c r="H27" s="142"/>
      <c r="I27" s="142"/>
      <c r="J27" s="142"/>
      <c r="K27" s="142"/>
      <c r="L27" s="142"/>
      <c r="M27" s="122"/>
      <c r="N27" s="122"/>
      <c r="O27" s="122"/>
      <c r="P27" s="122"/>
      <c r="Q27" s="122"/>
      <c r="R27" s="122"/>
    </row>
    <row r="28" spans="1:18" ht="17">
      <c r="B28" s="607" t="s">
        <v>106</v>
      </c>
      <c r="C28" s="607"/>
      <c r="D28" s="141"/>
      <c r="E28" s="143"/>
      <c r="F28" s="612"/>
      <c r="G28" s="142"/>
      <c r="H28" s="142"/>
      <c r="I28" s="142"/>
      <c r="J28" s="142"/>
      <c r="K28" s="142"/>
      <c r="L28" s="142"/>
      <c r="M28" s="122"/>
      <c r="N28" s="122"/>
      <c r="O28" s="122"/>
      <c r="P28" s="122"/>
      <c r="Q28" s="122"/>
      <c r="R28" s="122"/>
    </row>
    <row r="29" spans="1:18" ht="35" customHeight="1">
      <c r="B29" s="216" t="s">
        <v>143</v>
      </c>
      <c r="C29" s="212" t="s">
        <v>149</v>
      </c>
      <c r="D29" s="141"/>
      <c r="E29" s="143"/>
      <c r="F29" s="612"/>
      <c r="G29" s="142"/>
      <c r="H29" s="142"/>
      <c r="I29" s="142"/>
      <c r="J29" s="142"/>
      <c r="K29" s="142"/>
      <c r="L29" s="142"/>
      <c r="M29" s="122"/>
      <c r="N29" s="122"/>
      <c r="O29" s="122"/>
      <c r="P29" s="122"/>
      <c r="Q29" s="122"/>
      <c r="R29" s="122"/>
    </row>
    <row r="30" spans="1:18" ht="51" customHeight="1">
      <c r="B30" s="216" t="s">
        <v>143</v>
      </c>
      <c r="C30" s="212" t="s">
        <v>166</v>
      </c>
      <c r="D30" s="141"/>
      <c r="E30" s="143"/>
      <c r="F30" s="612"/>
      <c r="G30" s="142"/>
      <c r="H30" s="142"/>
      <c r="I30" s="142"/>
      <c r="J30" s="142"/>
      <c r="K30" s="142"/>
      <c r="L30" s="142"/>
      <c r="M30" s="122"/>
      <c r="N30" s="122"/>
      <c r="O30" s="122"/>
      <c r="P30" s="122"/>
      <c r="Q30" s="122"/>
      <c r="R30" s="122"/>
    </row>
    <row r="31" spans="1:18" ht="77" customHeight="1">
      <c r="B31" s="216" t="s">
        <v>143</v>
      </c>
      <c r="C31" s="212" t="s">
        <v>167</v>
      </c>
      <c r="D31" s="141"/>
      <c r="E31" s="143"/>
      <c r="F31" s="612"/>
      <c r="G31" s="142"/>
      <c r="H31" s="142"/>
      <c r="I31" s="142"/>
      <c r="J31" s="142"/>
      <c r="K31" s="142"/>
      <c r="L31" s="142"/>
      <c r="M31" s="122"/>
      <c r="N31" s="122"/>
      <c r="O31" s="122"/>
      <c r="P31" s="122"/>
      <c r="Q31" s="122"/>
      <c r="R31" s="122"/>
    </row>
    <row r="32" spans="1:18" ht="17">
      <c r="B32" s="216" t="s">
        <v>143</v>
      </c>
      <c r="C32" s="212" t="s">
        <v>150</v>
      </c>
      <c r="D32" s="141"/>
      <c r="E32" s="143"/>
      <c r="F32" s="612"/>
      <c r="G32" s="142"/>
      <c r="H32" s="142"/>
      <c r="I32" s="142"/>
      <c r="J32" s="142"/>
      <c r="K32" s="142"/>
      <c r="L32" s="142"/>
      <c r="M32" s="122"/>
      <c r="N32" s="122"/>
      <c r="O32" s="122"/>
      <c r="P32" s="122"/>
      <c r="Q32" s="122"/>
      <c r="R32" s="122"/>
    </row>
    <row r="33" spans="1:18" ht="16" customHeight="1">
      <c r="B33" s="194"/>
      <c r="C33" s="212"/>
      <c r="D33" s="114"/>
      <c r="E33" s="141"/>
      <c r="F33" s="612"/>
      <c r="G33" s="142"/>
      <c r="H33" s="142"/>
      <c r="I33" s="142"/>
      <c r="J33" s="142"/>
      <c r="K33" s="142"/>
      <c r="L33" s="142"/>
      <c r="M33" s="122"/>
      <c r="N33" s="122"/>
      <c r="O33" s="122"/>
      <c r="P33" s="122"/>
      <c r="Q33" s="122"/>
      <c r="R33" s="122"/>
    </row>
    <row r="34" spans="1:18" ht="17">
      <c r="A34" s="217"/>
      <c r="B34" s="606" t="s">
        <v>81</v>
      </c>
      <c r="C34" s="610"/>
      <c r="D34" s="114"/>
      <c r="E34" s="114"/>
      <c r="F34" s="114"/>
      <c r="G34" s="142"/>
      <c r="H34" s="142"/>
      <c r="I34" s="142"/>
      <c r="J34" s="142"/>
      <c r="K34" s="142"/>
      <c r="L34" s="142"/>
      <c r="M34" s="122"/>
      <c r="N34" s="122"/>
      <c r="O34" s="122"/>
      <c r="P34" s="122"/>
      <c r="Q34" s="122"/>
      <c r="R34" s="122"/>
    </row>
    <row r="35" spans="1:18" ht="28" customHeight="1">
      <c r="B35" s="609" t="s">
        <v>84</v>
      </c>
      <c r="C35" s="609"/>
      <c r="D35" s="114"/>
      <c r="E35" s="114"/>
      <c r="F35" s="114"/>
      <c r="G35" s="142"/>
      <c r="H35" s="142"/>
      <c r="I35" s="142"/>
      <c r="J35" s="142"/>
      <c r="K35" s="142"/>
      <c r="L35" s="142"/>
      <c r="M35" s="122"/>
      <c r="N35" s="122"/>
      <c r="O35" s="122"/>
      <c r="P35" s="122"/>
      <c r="Q35" s="122"/>
      <c r="R35" s="122"/>
    </row>
    <row r="36" spans="1:18" ht="18" customHeight="1">
      <c r="B36" s="536"/>
      <c r="C36" s="536"/>
      <c r="D36" s="114"/>
      <c r="E36" s="114"/>
      <c r="F36" s="114"/>
      <c r="G36" s="142"/>
      <c r="H36" s="142"/>
      <c r="I36" s="142"/>
      <c r="J36" s="142"/>
      <c r="K36" s="142"/>
      <c r="L36" s="142"/>
      <c r="M36" s="122"/>
      <c r="N36" s="122"/>
      <c r="O36" s="122"/>
      <c r="P36" s="122"/>
      <c r="Q36" s="122"/>
      <c r="R36" s="122"/>
    </row>
    <row r="37" spans="1:18" ht="20" customHeight="1">
      <c r="B37" s="613" t="s">
        <v>331</v>
      </c>
      <c r="C37" s="614"/>
      <c r="D37" s="114"/>
      <c r="E37" s="114"/>
      <c r="F37" s="114"/>
      <c r="G37" s="142"/>
      <c r="H37" s="142"/>
      <c r="I37" s="142"/>
      <c r="J37" s="142"/>
      <c r="K37" s="142"/>
      <c r="L37" s="142"/>
      <c r="M37" s="122"/>
      <c r="N37" s="122"/>
      <c r="O37" s="122"/>
      <c r="P37" s="122"/>
      <c r="Q37" s="122"/>
      <c r="R37" s="122"/>
    </row>
    <row r="38" spans="1:18" ht="15" customHeight="1">
      <c r="B38" s="216" t="s">
        <v>143</v>
      </c>
      <c r="C38" s="535" t="s">
        <v>151</v>
      </c>
      <c r="D38" s="114"/>
      <c r="E38" s="114"/>
      <c r="F38" s="114"/>
      <c r="G38" s="142"/>
      <c r="H38" s="142"/>
      <c r="I38" s="142"/>
      <c r="J38" s="142"/>
      <c r="K38" s="142"/>
      <c r="L38" s="142"/>
      <c r="M38" s="122"/>
      <c r="N38" s="122"/>
      <c r="O38" s="122"/>
      <c r="P38" s="122"/>
      <c r="Q38" s="122"/>
      <c r="R38" s="122"/>
    </row>
    <row r="39" spans="1:18" ht="17">
      <c r="B39" s="216" t="s">
        <v>143</v>
      </c>
      <c r="C39" s="535" t="s">
        <v>152</v>
      </c>
      <c r="D39" s="114"/>
      <c r="E39" s="114"/>
      <c r="F39" s="114"/>
      <c r="G39" s="142"/>
      <c r="H39" s="142"/>
      <c r="I39" s="142"/>
      <c r="J39" s="142"/>
      <c r="K39" s="142"/>
      <c r="L39" s="142"/>
      <c r="M39" s="122"/>
      <c r="N39" s="122"/>
      <c r="O39" s="122"/>
      <c r="P39" s="122"/>
      <c r="Q39" s="122"/>
      <c r="R39" s="122"/>
    </row>
    <row r="40" spans="1:18" ht="17">
      <c r="B40" s="216" t="s">
        <v>143</v>
      </c>
      <c r="C40" s="535" t="s">
        <v>153</v>
      </c>
      <c r="D40" s="114"/>
      <c r="E40" s="114"/>
      <c r="F40" s="114"/>
      <c r="G40" s="142"/>
      <c r="H40" s="142"/>
      <c r="I40" s="142"/>
      <c r="J40" s="142"/>
      <c r="K40" s="142"/>
      <c r="L40" s="142"/>
      <c r="M40" s="122"/>
      <c r="N40" s="122"/>
      <c r="O40" s="122"/>
      <c r="P40" s="122"/>
      <c r="Q40" s="122"/>
      <c r="R40" s="122"/>
    </row>
    <row r="41" spans="1:18" ht="16" customHeight="1">
      <c r="B41" s="198"/>
      <c r="C41" s="212"/>
      <c r="D41" s="114"/>
      <c r="E41" s="114"/>
      <c r="F41" s="114"/>
      <c r="G41" s="142"/>
      <c r="H41" s="142"/>
      <c r="I41" s="142"/>
      <c r="J41" s="142"/>
      <c r="K41" s="142"/>
      <c r="L41" s="142"/>
      <c r="M41" s="122"/>
      <c r="N41" s="122"/>
      <c r="O41" s="122"/>
      <c r="P41" s="122"/>
      <c r="Q41" s="122"/>
      <c r="R41" s="122"/>
    </row>
    <row r="42" spans="1:18" ht="16" customHeight="1">
      <c r="B42" s="606" t="s">
        <v>330</v>
      </c>
      <c r="C42" s="610"/>
      <c r="D42" s="114"/>
      <c r="E42" s="114"/>
      <c r="F42" s="114"/>
      <c r="G42" s="142"/>
      <c r="H42" s="142"/>
      <c r="I42" s="142"/>
      <c r="J42" s="142"/>
      <c r="K42" s="142"/>
      <c r="L42" s="142"/>
      <c r="M42" s="122"/>
      <c r="N42" s="122"/>
      <c r="O42" s="122"/>
      <c r="P42" s="122"/>
      <c r="Q42" s="122"/>
      <c r="R42" s="122"/>
    </row>
    <row r="43" spans="1:18" ht="16" customHeight="1">
      <c r="B43" s="607" t="s">
        <v>82</v>
      </c>
      <c r="C43" s="607"/>
      <c r="D43" s="114"/>
      <c r="E43" s="114"/>
      <c r="F43" s="114"/>
      <c r="G43" s="142"/>
      <c r="H43" s="142"/>
      <c r="I43" s="142"/>
      <c r="J43" s="142"/>
      <c r="K43" s="142"/>
      <c r="L43" s="142"/>
      <c r="M43" s="122"/>
      <c r="N43" s="122"/>
      <c r="O43" s="122"/>
      <c r="P43" s="122"/>
      <c r="Q43" s="122"/>
      <c r="R43" s="122"/>
    </row>
    <row r="44" spans="1:18" ht="16" customHeight="1">
      <c r="B44" s="216" t="s">
        <v>143</v>
      </c>
      <c r="C44" s="210" t="s">
        <v>332</v>
      </c>
      <c r="D44" s="114"/>
      <c r="E44" s="114"/>
      <c r="F44" s="114"/>
      <c r="G44" s="142"/>
      <c r="H44" s="142"/>
      <c r="I44" s="142"/>
      <c r="J44" s="142"/>
      <c r="K44" s="142"/>
      <c r="L44" s="142"/>
      <c r="M44" s="122"/>
      <c r="N44" s="122"/>
      <c r="O44" s="122"/>
      <c r="P44" s="122"/>
      <c r="Q44" s="122"/>
      <c r="R44" s="122"/>
    </row>
    <row r="45" spans="1:18" s="103" customFormat="1" ht="52" customHeight="1">
      <c r="B45" s="216" t="s">
        <v>143</v>
      </c>
      <c r="C45" s="218" t="s">
        <v>168</v>
      </c>
      <c r="D45" s="141"/>
      <c r="E45" s="141"/>
      <c r="F45" s="141"/>
      <c r="G45" s="219"/>
      <c r="H45" s="219"/>
      <c r="I45" s="219"/>
      <c r="J45" s="219"/>
      <c r="K45" s="219"/>
      <c r="L45" s="219"/>
      <c r="M45" s="220"/>
      <c r="N45" s="220"/>
      <c r="O45" s="220"/>
      <c r="P45" s="220"/>
      <c r="Q45" s="220"/>
      <c r="R45" s="220"/>
    </row>
    <row r="46" spans="1:18" ht="16" customHeight="1" thickBot="1">
      <c r="B46" s="195"/>
      <c r="C46" s="213"/>
      <c r="D46" s="118"/>
      <c r="E46" s="114"/>
      <c r="F46" s="114"/>
      <c r="G46" s="112"/>
      <c r="H46" s="112"/>
      <c r="I46" s="112"/>
      <c r="J46" s="112"/>
      <c r="K46" s="112"/>
      <c r="L46" s="112"/>
    </row>
    <row r="47" spans="1:18" ht="16" customHeight="1" thickBot="1">
      <c r="B47" s="196"/>
      <c r="D47" s="113"/>
      <c r="E47" s="114"/>
      <c r="F47" s="114"/>
      <c r="G47" s="112"/>
      <c r="H47" s="112"/>
      <c r="I47" s="112"/>
      <c r="J47" s="112"/>
      <c r="K47" s="112"/>
      <c r="L47" s="112"/>
    </row>
    <row r="48" spans="1:18" ht="16" customHeight="1">
      <c r="B48" s="196"/>
      <c r="D48" s="113"/>
      <c r="E48" s="114"/>
      <c r="F48" s="114"/>
      <c r="G48" s="112"/>
      <c r="H48" s="112"/>
      <c r="I48" s="112"/>
      <c r="J48" s="112"/>
      <c r="K48" s="112"/>
      <c r="L48" s="112"/>
    </row>
    <row r="49" spans="2:12" ht="16" customHeight="1">
      <c r="B49" s="196"/>
      <c r="D49" s="113"/>
      <c r="E49" s="114"/>
      <c r="F49" s="114"/>
      <c r="G49" s="112"/>
      <c r="H49" s="112"/>
      <c r="I49" s="112"/>
      <c r="J49" s="112"/>
      <c r="K49" s="112"/>
      <c r="L49" s="112"/>
    </row>
    <row r="50" spans="2:12" ht="17">
      <c r="B50" s="196"/>
      <c r="D50" s="113"/>
      <c r="E50" s="114"/>
      <c r="F50" s="114"/>
      <c r="G50" s="112"/>
      <c r="H50" s="112"/>
      <c r="I50" s="112"/>
      <c r="J50" s="112"/>
      <c r="K50" s="112"/>
      <c r="L50" s="112"/>
    </row>
    <row r="51" spans="2:12" ht="17">
      <c r="B51" s="196"/>
      <c r="D51" s="113"/>
      <c r="E51" s="114"/>
      <c r="F51" s="114"/>
      <c r="G51" s="112"/>
      <c r="H51" s="112"/>
      <c r="I51" s="112"/>
      <c r="J51" s="112"/>
      <c r="K51" s="112"/>
      <c r="L51" s="112"/>
    </row>
    <row r="52" spans="2:12" ht="17">
      <c r="B52" s="196"/>
      <c r="D52" s="113"/>
      <c r="E52" s="114"/>
      <c r="F52" s="114"/>
      <c r="G52" s="112"/>
      <c r="H52" s="112"/>
      <c r="I52" s="112"/>
      <c r="J52" s="112"/>
      <c r="K52" s="112"/>
      <c r="L52" s="112"/>
    </row>
    <row r="53" spans="2:12" thickBot="1">
      <c r="B53" s="196"/>
      <c r="D53" s="113"/>
      <c r="E53" s="114"/>
      <c r="F53" s="114"/>
      <c r="G53" s="112"/>
      <c r="H53" s="112"/>
      <c r="I53" s="112"/>
      <c r="J53" s="112"/>
      <c r="K53" s="112"/>
      <c r="L53" s="112"/>
    </row>
    <row r="54" spans="2:12" thickBot="1">
      <c r="B54" s="196"/>
      <c r="D54" s="113"/>
      <c r="E54" s="114"/>
      <c r="F54" s="114"/>
      <c r="G54" s="112"/>
      <c r="H54" s="112"/>
      <c r="I54" s="112"/>
      <c r="J54" s="112"/>
      <c r="K54" s="112"/>
      <c r="L54" s="112"/>
    </row>
    <row r="55" spans="2:12" thickBot="1">
      <c r="B55" s="196"/>
      <c r="D55" s="113"/>
      <c r="E55" s="114"/>
      <c r="F55" s="114"/>
      <c r="G55" s="112"/>
      <c r="H55" s="112"/>
      <c r="I55" s="112"/>
      <c r="J55" s="112"/>
      <c r="K55" s="112"/>
      <c r="L55" s="112"/>
    </row>
    <row r="56" spans="2:12" thickBot="1">
      <c r="B56" s="196"/>
      <c r="D56" s="113"/>
      <c r="E56" s="114"/>
      <c r="F56" s="114"/>
      <c r="G56" s="112"/>
      <c r="H56" s="112"/>
      <c r="I56" s="112"/>
      <c r="J56" s="112"/>
      <c r="K56" s="112"/>
      <c r="L56" s="112"/>
    </row>
    <row r="57" spans="2:12" thickBot="1">
      <c r="B57" s="196"/>
      <c r="D57" s="113"/>
      <c r="E57" s="114"/>
      <c r="F57" s="114"/>
      <c r="G57" s="112"/>
      <c r="H57" s="112"/>
      <c r="I57" s="112"/>
      <c r="J57" s="112"/>
      <c r="K57" s="112"/>
      <c r="L57" s="112"/>
    </row>
    <row r="58" spans="2:12" thickBot="1">
      <c r="B58" s="196"/>
      <c r="D58" s="113"/>
      <c r="E58" s="114"/>
      <c r="F58" s="114"/>
      <c r="G58" s="112"/>
      <c r="H58" s="112"/>
      <c r="I58" s="112"/>
      <c r="J58" s="112"/>
      <c r="K58" s="112"/>
      <c r="L58" s="112"/>
    </row>
    <row r="59" spans="2:12" thickBot="1">
      <c r="B59" s="196"/>
      <c r="D59" s="113"/>
      <c r="E59" s="114"/>
      <c r="F59" s="114"/>
      <c r="G59" s="112"/>
      <c r="H59" s="112"/>
      <c r="I59" s="112"/>
      <c r="J59" s="112"/>
      <c r="K59" s="112"/>
      <c r="L59" s="112"/>
    </row>
    <row r="60" spans="2:12" ht="17"/>
    <row r="61" spans="2:12" ht="17"/>
    <row r="62" spans="2:12" ht="17"/>
    <row r="63" spans="2:12" ht="17"/>
    <row r="64" spans="2:12" ht="17"/>
    <row r="65" ht="17"/>
    <row r="66" ht="17"/>
    <row r="67" ht="17"/>
    <row r="68" ht="17"/>
    <row r="69" ht="17"/>
    <row r="70" ht="17"/>
    <row r="71" ht="17"/>
    <row r="72" ht="17"/>
    <row r="73" ht="17"/>
    <row r="74" ht="17"/>
  </sheetData>
  <mergeCells count="14">
    <mergeCell ref="B35:C35"/>
    <mergeCell ref="B43:C43"/>
    <mergeCell ref="B42:C42"/>
    <mergeCell ref="B34:C34"/>
    <mergeCell ref="E5:F5"/>
    <mergeCell ref="F7:F33"/>
    <mergeCell ref="B10:C10"/>
    <mergeCell ref="B20:C20"/>
    <mergeCell ref="B37:C37"/>
    <mergeCell ref="B3:C3"/>
    <mergeCell ref="B19:C19"/>
    <mergeCell ref="B27:C27"/>
    <mergeCell ref="B28:C28"/>
    <mergeCell ref="B21:C21"/>
  </mergeCells>
  <hyperlinks>
    <hyperlink ref="B1" location="HOME!A1" display="Back to Home" xr:uid="{00000000-0004-0000-0100-000000000000}"/>
    <hyperlink ref="B9" location="'A1. BASE MODEL INPUTS'!A1" display="A.1 BASE MODEL INPUTS" xr:uid="{00000000-0004-0000-0100-000001000000}"/>
    <hyperlink ref="B34" location="'B2. MASTER AGENT MODEL'!A1" display="B2.  MASTER AGENT MODEL" xr:uid="{00000000-0004-0000-0100-000002000000}"/>
    <hyperlink ref="B42" location="'B3. AGENT BREAK EVEN'!A1" display="B3.  AGENT BREAK EVEN" xr:uid="{00000000-0004-0000-0100-000003000000}"/>
    <hyperlink ref="B27" location="'B1. MASTER AGENT INPUTS'!A1" display="B1. MASTER AGENT INPUTS" xr:uid="{00000000-0004-0000-0100-000004000000}"/>
    <hyperlink ref="B19" location="'A2. BASE MODEL'!A1" display="A.2 BASE MODEL" xr:uid="{00000000-0004-0000-0100-000005000000}"/>
    <hyperlink ref="B21:C21" location="'A3. BASE GRAPHS'!A1" display="A.3 BASE GRAPHS" xr:uid="{7332F2F6-1B62-3342-8DE6-F5EA5F44C6B0}"/>
    <hyperlink ref="B37" location="'B2. MASTER AGENT MODEL'!A1" display="B2.  MASTER AGENT MODEL" xr:uid="{33A9BE40-7286-4242-B0A8-3593DCC0F368}"/>
    <hyperlink ref="B37:C37" location="'B3. MASTER AGENT GRAPHS'!A1" display="B3.  MASTER AGENT MODEL" xr:uid="{0515F541-1EC6-E849-AFC4-1BFD319FBCEF}"/>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29"/>
  <sheetViews>
    <sheetView showGridLines="0" zoomScaleNormal="100" zoomScalePageLayoutView="125" workbookViewId="0"/>
  </sheetViews>
  <sheetFormatPr baseColWidth="10" defaultColWidth="9.1640625" defaultRowHeight="14" customHeight="1"/>
  <cols>
    <col min="1" max="1" width="4.83203125" style="1" customWidth="1"/>
    <col min="2" max="2" width="10.83203125" style="1" customWidth="1"/>
    <col min="3" max="3" width="65.33203125" style="1" customWidth="1"/>
    <col min="4" max="4" width="7.33203125" style="1" customWidth="1"/>
    <col min="5" max="5" width="10.83203125" style="2" customWidth="1"/>
    <col min="6" max="6" width="52.83203125" style="2" customWidth="1"/>
    <col min="7" max="7" width="12" style="164" customWidth="1"/>
    <col min="8" max="16384" width="9.1640625" style="1"/>
  </cols>
  <sheetData>
    <row r="1" spans="1:8" ht="15" thickBot="1">
      <c r="A1" s="352" t="s">
        <v>107</v>
      </c>
      <c r="F1" s="6"/>
    </row>
    <row r="2" spans="1:8" ht="14" customHeight="1" thickBot="1">
      <c r="A2" s="3"/>
      <c r="C2" s="221" t="s">
        <v>135</v>
      </c>
      <c r="D2" s="221"/>
      <c r="E2" s="222"/>
      <c r="F2" s="1"/>
      <c r="G2" s="165"/>
    </row>
    <row r="3" spans="1:8" ht="14" customHeight="1" thickBot="1">
      <c r="A3" s="3"/>
      <c r="B3" s="244" t="s">
        <v>71</v>
      </c>
      <c r="C3" s="245"/>
      <c r="D3" s="245"/>
      <c r="E3" s="245"/>
      <c r="F3" s="245"/>
    </row>
    <row r="4" spans="1:8" s="7" customFormat="1" ht="14" customHeight="1" thickTop="1" thickBot="1">
      <c r="A4" s="3"/>
      <c r="B4" s="99"/>
      <c r="C4" s="179" t="s">
        <v>0</v>
      </c>
      <c r="D4" s="179"/>
      <c r="E4" s="174"/>
      <c r="F4" s="179" t="s">
        <v>104</v>
      </c>
      <c r="G4" s="164"/>
    </row>
    <row r="5" spans="1:8" ht="14" customHeight="1">
      <c r="A5" s="3"/>
      <c r="B5" s="223">
        <v>50000</v>
      </c>
      <c r="C5" s="177" t="s">
        <v>90</v>
      </c>
      <c r="D5" s="177"/>
      <c r="E5" s="224">
        <v>12</v>
      </c>
      <c r="F5" s="247" t="s">
        <v>207</v>
      </c>
    </row>
    <row r="6" spans="1:8">
      <c r="A6" s="153"/>
      <c r="B6" s="225">
        <v>0.05</v>
      </c>
      <c r="C6" s="177" t="s">
        <v>154</v>
      </c>
      <c r="D6" s="177"/>
      <c r="E6" s="226">
        <v>30</v>
      </c>
      <c r="F6" s="247" t="s">
        <v>37</v>
      </c>
    </row>
    <row r="7" spans="1:8" ht="14" customHeight="1">
      <c r="A7" s="251">
        <v>1</v>
      </c>
      <c r="B7" s="225">
        <v>0.03</v>
      </c>
      <c r="C7" s="177" t="s">
        <v>172</v>
      </c>
      <c r="D7" s="254">
        <v>2</v>
      </c>
      <c r="E7" s="226">
        <v>15</v>
      </c>
      <c r="F7" s="247" t="s">
        <v>112</v>
      </c>
      <c r="G7" s="540">
        <f>E7/30</f>
        <v>0.5</v>
      </c>
    </row>
    <row r="8" spans="1:8" ht="14" customHeight="1" thickBot="1">
      <c r="A8" s="3"/>
      <c r="B8" s="227">
        <f>B6*B5</f>
        <v>2500</v>
      </c>
      <c r="C8" s="247" t="s">
        <v>155</v>
      </c>
      <c r="D8" s="247"/>
      <c r="E8" s="228">
        <v>2</v>
      </c>
      <c r="F8" s="247" t="s">
        <v>105</v>
      </c>
      <c r="G8" s="166"/>
    </row>
    <row r="9" spans="1:8" ht="14" customHeight="1">
      <c r="A9" s="3"/>
      <c r="B9" s="3"/>
      <c r="E9" s="205">
        <f>E7/E8</f>
        <v>7.5</v>
      </c>
      <c r="F9" s="170" t="s">
        <v>111</v>
      </c>
    </row>
    <row r="10" spans="1:8" ht="14" customHeight="1" thickBot="1">
      <c r="A10" s="3"/>
      <c r="B10" s="244" t="s">
        <v>39</v>
      </c>
      <c r="C10" s="245"/>
      <c r="D10" s="245"/>
      <c r="E10" s="245"/>
      <c r="F10" s="245"/>
      <c r="H10" s="5"/>
    </row>
    <row r="11" spans="1:8" s="7" customFormat="1" ht="14" customHeight="1" thickTop="1" thickBot="1">
      <c r="A11" s="3"/>
      <c r="B11" s="229"/>
      <c r="C11" s="230" t="s">
        <v>63</v>
      </c>
      <c r="D11" s="230"/>
      <c r="E11" s="231"/>
      <c r="F11" s="232" t="s">
        <v>64</v>
      </c>
      <c r="G11" s="164"/>
      <c r="H11" s="5"/>
    </row>
    <row r="12" spans="1:8" s="7" customFormat="1" ht="14" customHeight="1">
      <c r="A12" s="3"/>
      <c r="B12" s="233">
        <v>0.3</v>
      </c>
      <c r="C12" s="250" t="s">
        <v>156</v>
      </c>
      <c r="D12" s="250"/>
      <c r="E12" s="234">
        <v>0.01</v>
      </c>
      <c r="F12" s="248" t="s">
        <v>169</v>
      </c>
      <c r="G12" s="164"/>
      <c r="H12" s="5"/>
    </row>
    <row r="13" spans="1:8" s="7" customFormat="1" ht="14" customHeight="1" thickBot="1">
      <c r="A13" s="3"/>
      <c r="B13" s="235">
        <v>8</v>
      </c>
      <c r="C13" s="247" t="s">
        <v>38</v>
      </c>
      <c r="D13" s="247"/>
      <c r="E13" s="236">
        <v>0.01</v>
      </c>
      <c r="F13" s="248" t="s">
        <v>170</v>
      </c>
      <c r="G13" s="164"/>
      <c r="H13" s="5"/>
    </row>
    <row r="14" spans="1:8" s="7" customFormat="1" ht="14" customHeight="1" thickBot="1">
      <c r="A14" s="3"/>
      <c r="B14" s="205">
        <f>(30-B13)*(E7/30)</f>
        <v>11</v>
      </c>
      <c r="C14" s="353" t="s">
        <v>31</v>
      </c>
      <c r="D14" s="258">
        <v>3</v>
      </c>
      <c r="E14" s="237">
        <v>75</v>
      </c>
      <c r="F14" s="255" t="s">
        <v>83</v>
      </c>
      <c r="H14" s="5"/>
    </row>
    <row r="15" spans="1:8" s="7" customFormat="1" ht="14" customHeight="1">
      <c r="A15" s="153"/>
      <c r="B15" s="206">
        <f>E7-B14</f>
        <v>4</v>
      </c>
      <c r="C15" s="255" t="s">
        <v>32</v>
      </c>
      <c r="D15" s="249"/>
      <c r="E15" s="139"/>
      <c r="F15" s="140"/>
      <c r="G15" s="164"/>
      <c r="H15" s="5"/>
    </row>
    <row r="16" spans="1:8" s="7" customFormat="1">
      <c r="A16" s="3"/>
      <c r="B16" s="207">
        <f>E5*(1+(B13/30))</f>
        <v>15.2</v>
      </c>
      <c r="C16" s="255" t="s">
        <v>110</v>
      </c>
      <c r="D16" s="249"/>
      <c r="E16" s="541"/>
      <c r="F16" s="542"/>
      <c r="G16" s="164"/>
      <c r="H16" s="5"/>
    </row>
    <row r="17" spans="1:8" s="7" customFormat="1" ht="14" customHeight="1">
      <c r="A17" s="3"/>
      <c r="B17" s="3"/>
      <c r="F17" s="11"/>
      <c r="G17" s="164"/>
      <c r="H17" s="5"/>
    </row>
    <row r="18" spans="1:8" ht="14" customHeight="1" thickBot="1">
      <c r="A18" s="3"/>
      <c r="B18" s="244" t="s">
        <v>58</v>
      </c>
      <c r="C18" s="245"/>
      <c r="D18" s="245"/>
      <c r="E18" s="245"/>
      <c r="F18" s="245"/>
      <c r="H18" s="6"/>
    </row>
    <row r="19" spans="1:8" ht="14" customHeight="1" thickTop="1" thickBot="1">
      <c r="A19" s="3"/>
      <c r="B19" s="615" t="s">
        <v>1</v>
      </c>
      <c r="C19" s="615"/>
      <c r="D19" s="252"/>
      <c r="E19" s="238"/>
      <c r="F19" s="239" t="s">
        <v>100</v>
      </c>
      <c r="H19" s="6"/>
    </row>
    <row r="20" spans="1:8" ht="31" customHeight="1">
      <c r="B20" s="233">
        <v>0.35</v>
      </c>
      <c r="C20" s="169" t="s">
        <v>68</v>
      </c>
      <c r="D20" s="169"/>
      <c r="E20" s="233">
        <v>0.05</v>
      </c>
      <c r="F20" s="240" t="s">
        <v>117</v>
      </c>
    </row>
    <row r="21" spans="1:8" ht="31" customHeight="1" thickBot="1">
      <c r="B21" s="242">
        <v>0.3</v>
      </c>
      <c r="C21" s="169" t="s">
        <v>157</v>
      </c>
      <c r="D21" s="257">
        <v>4</v>
      </c>
      <c r="E21" s="241">
        <v>1.4999999999999999E-2</v>
      </c>
      <c r="F21" s="259" t="s">
        <v>204</v>
      </c>
    </row>
    <row r="22" spans="1:8" ht="14" customHeight="1">
      <c r="B22" s="243">
        <v>500</v>
      </c>
      <c r="C22" s="169" t="s">
        <v>205</v>
      </c>
      <c r="D22" s="169"/>
      <c r="E22" s="124"/>
      <c r="F22" s="123"/>
    </row>
    <row r="23" spans="1:8" ht="14" customHeight="1" thickBot="1">
      <c r="A23" s="3"/>
      <c r="B23" s="237">
        <v>450</v>
      </c>
      <c r="C23" s="170" t="s">
        <v>206</v>
      </c>
      <c r="D23" s="170"/>
      <c r="E23" s="12"/>
      <c r="F23" s="12"/>
      <c r="H23" s="6"/>
    </row>
    <row r="24" spans="1:8" ht="14" customHeight="1">
      <c r="A24" s="3"/>
      <c r="B24" s="100"/>
      <c r="F24" s="12"/>
      <c r="H24" s="6"/>
    </row>
    <row r="25" spans="1:8" ht="14" customHeight="1" thickBot="1">
      <c r="A25" s="3"/>
      <c r="B25" s="244" t="s">
        <v>171</v>
      </c>
      <c r="C25" s="245"/>
      <c r="D25" s="245"/>
      <c r="E25" s="245"/>
      <c r="F25" s="245"/>
    </row>
    <row r="26" spans="1:8" s="7" customFormat="1" ht="14" customHeight="1" thickTop="1">
      <c r="A26" s="163">
        <v>1</v>
      </c>
      <c r="B26" s="616" t="s">
        <v>173</v>
      </c>
      <c r="C26" s="616"/>
      <c r="D26" s="616"/>
      <c r="E26" s="616"/>
      <c r="F26" s="616"/>
      <c r="G26" s="164"/>
    </row>
    <row r="27" spans="1:8" ht="34" customHeight="1">
      <c r="A27" s="230">
        <v>2</v>
      </c>
      <c r="B27" s="617" t="s">
        <v>131</v>
      </c>
      <c r="C27" s="617"/>
      <c r="D27" s="617"/>
      <c r="E27" s="617"/>
      <c r="F27" s="617"/>
    </row>
    <row r="28" spans="1:8" s="5" customFormat="1" ht="27" customHeight="1">
      <c r="A28" s="45">
        <v>3</v>
      </c>
      <c r="B28" s="617" t="s">
        <v>132</v>
      </c>
      <c r="C28" s="617"/>
      <c r="D28" s="617"/>
      <c r="E28" s="617"/>
      <c r="F28" s="617"/>
      <c r="G28" s="167"/>
    </row>
    <row r="29" spans="1:8" s="5" customFormat="1" ht="14" customHeight="1">
      <c r="A29" s="45">
        <v>4</v>
      </c>
      <c r="B29" s="618" t="s">
        <v>115</v>
      </c>
      <c r="C29" s="618"/>
      <c r="D29" s="618"/>
      <c r="E29" s="618"/>
      <c r="F29" s="618"/>
      <c r="G29" s="167"/>
    </row>
  </sheetData>
  <mergeCells count="5">
    <mergeCell ref="B19:C19"/>
    <mergeCell ref="B26:F26"/>
    <mergeCell ref="B27:F27"/>
    <mergeCell ref="B28:F28"/>
    <mergeCell ref="B29:F29"/>
  </mergeCells>
  <hyperlinks>
    <hyperlink ref="A1" location="HOME!A1" display="Back to Home" xr:uid="{00000000-0004-0000-0200-000000000000}"/>
    <hyperlink ref="A7" location="'A1. BASE MODEL INPUTS'!A28" display="'A1. BASE MODEL INPUTS'!A28" xr:uid="{6A42BB33-60A1-364A-881A-448385A7A786}"/>
    <hyperlink ref="D7" location="'A1. BASE MODEL INPUTS'!A29" display="'A1. BASE MODEL INPUTS'!A29" xr:uid="{AE476DCF-1E31-FD46-8C9C-55CA8AA4F777}"/>
    <hyperlink ref="D14" location="'A1. BASE MODEL INPUTS'!A30" display="'A1. BASE MODEL INPUTS'!A30" xr:uid="{B0D11A22-5A0F-824C-958A-071C76BBD7D9}"/>
    <hyperlink ref="D21" location="'A1. BASE MODEL INPUTS'!A31" display="'A1. BASE MODEL INPUTS'!A31" xr:uid="{A01CABC6-4FE5-864A-A147-00D014790ED9}"/>
  </hyperlinks>
  <pageMargins left="0.7" right="0.7" top="0.75" bottom="0.75" header="0.3" footer="0.3"/>
  <pageSetup paperSize="9" scale="88"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218"/>
  <sheetViews>
    <sheetView showGridLines="0" zoomScaleNormal="100" zoomScalePageLayoutView="120" workbookViewId="0"/>
  </sheetViews>
  <sheetFormatPr baseColWidth="10" defaultColWidth="9.1640625" defaultRowHeight="14" customHeight="1"/>
  <cols>
    <col min="1" max="1" width="45.83203125" style="1" bestFit="1" customWidth="1"/>
    <col min="2" max="37" width="13.33203125" style="1" customWidth="1"/>
    <col min="38" max="16384" width="9.1640625" style="7"/>
  </cols>
  <sheetData>
    <row r="1" spans="1:37" ht="14" customHeight="1">
      <c r="A1" s="260" t="s">
        <v>107</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7" ht="14"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1:37" ht="14" customHeight="1" thickBot="1">
      <c r="A3" s="430"/>
      <c r="B3" s="619" t="s">
        <v>62</v>
      </c>
      <c r="C3" s="619"/>
      <c r="D3" s="619"/>
      <c r="E3" s="619"/>
      <c r="F3" s="7"/>
      <c r="G3" s="551"/>
      <c r="H3" s="551"/>
      <c r="I3" s="620" t="s">
        <v>139</v>
      </c>
      <c r="J3" s="620"/>
      <c r="K3" s="620"/>
      <c r="L3" s="620"/>
      <c r="M3" s="7"/>
      <c r="N3" s="7"/>
      <c r="O3" s="7"/>
      <c r="P3" s="7"/>
      <c r="Q3" s="7"/>
      <c r="R3" s="7"/>
      <c r="S3" s="7"/>
      <c r="T3" s="7"/>
      <c r="U3" s="7"/>
      <c r="V3" s="7"/>
      <c r="W3" s="7"/>
      <c r="X3" s="7"/>
      <c r="Y3" s="7"/>
      <c r="Z3" s="7"/>
      <c r="AA3" s="7"/>
      <c r="AB3" s="7"/>
      <c r="AC3" s="7"/>
      <c r="AD3" s="7"/>
      <c r="AE3" s="7"/>
      <c r="AF3" s="7"/>
      <c r="AG3" s="7"/>
      <c r="AH3" s="7"/>
      <c r="AI3" s="7"/>
      <c r="AJ3" s="7"/>
      <c r="AK3" s="7"/>
    </row>
    <row r="4" spans="1:37" ht="14" customHeight="1">
      <c r="A4" s="284"/>
      <c r="B4" s="279" t="s">
        <v>59</v>
      </c>
      <c r="C4" s="279" t="s">
        <v>60</v>
      </c>
      <c r="D4" s="279" t="s">
        <v>61</v>
      </c>
      <c r="E4" s="552" t="s">
        <v>69</v>
      </c>
      <c r="F4" s="7"/>
      <c r="G4" s="5"/>
      <c r="H4" s="5"/>
      <c r="I4" s="8" t="s">
        <v>59</v>
      </c>
      <c r="J4" s="8" t="s">
        <v>60</v>
      </c>
      <c r="K4" s="8" t="s">
        <v>61</v>
      </c>
      <c r="L4" s="545" t="s">
        <v>69</v>
      </c>
      <c r="M4" s="7"/>
      <c r="N4" s="7"/>
      <c r="O4" s="7"/>
      <c r="P4" s="7"/>
      <c r="Q4" s="7"/>
      <c r="R4" s="7"/>
      <c r="S4" s="7"/>
      <c r="T4" s="7"/>
      <c r="U4" s="7"/>
      <c r="V4" s="7"/>
      <c r="W4" s="7"/>
      <c r="X4" s="7"/>
      <c r="Y4" s="7"/>
      <c r="Z4" s="7"/>
      <c r="AA4" s="7"/>
      <c r="AB4" s="7"/>
      <c r="AC4" s="7"/>
      <c r="AD4" s="7"/>
      <c r="AE4" s="7"/>
      <c r="AF4" s="7"/>
      <c r="AG4" s="7"/>
      <c r="AH4" s="7"/>
      <c r="AI4" s="7"/>
      <c r="AJ4" s="7"/>
      <c r="AK4" s="7"/>
    </row>
    <row r="5" spans="1:37" ht="14" customHeight="1">
      <c r="A5" s="29" t="s">
        <v>180</v>
      </c>
      <c r="B5" s="280">
        <f>SUM('A2. BASE MODEL'!B57:M57)</f>
        <v>9861521.5767582022</v>
      </c>
      <c r="C5" s="280">
        <f>SUM('A2. BASE MODEL'!N57:Y57)</f>
        <v>14310962.641174722</v>
      </c>
      <c r="D5" s="280">
        <f>SUM('A2. BASE MODEL'!Z57:AK57)</f>
        <v>20763455.704064794</v>
      </c>
      <c r="E5" s="553">
        <f>SUM(B5:D5)</f>
        <v>44935939.921997719</v>
      </c>
      <c r="F5" s="7"/>
      <c r="G5" s="5"/>
      <c r="H5" s="15" t="str">
        <f>A55</f>
        <v>Total payment collection costs</v>
      </c>
      <c r="I5" s="281">
        <f>-SUM(B55:M55)</f>
        <v>307391.19871378661</v>
      </c>
      <c r="J5" s="138">
        <f>-SUM(N55:Y55)</f>
        <v>445987.01697045151</v>
      </c>
      <c r="K5" s="138">
        <f>-SUM(Z55:AK55)</f>
        <v>647072.590687291</v>
      </c>
      <c r="L5" s="555">
        <f>SUM(I5:K5)</f>
        <v>1400450.8063715291</v>
      </c>
      <c r="M5" s="7"/>
      <c r="N5" s="7"/>
      <c r="O5" s="7"/>
      <c r="P5" s="7"/>
      <c r="Q5" s="7"/>
      <c r="R5" s="7"/>
      <c r="S5" s="7"/>
      <c r="T5" s="7"/>
      <c r="U5" s="7"/>
      <c r="V5" s="7"/>
      <c r="W5" s="7"/>
      <c r="X5" s="7"/>
      <c r="Y5" s="7"/>
      <c r="Z5" s="7"/>
      <c r="AA5" s="7"/>
      <c r="AB5" s="7"/>
      <c r="AC5" s="7"/>
      <c r="AD5" s="7"/>
      <c r="AE5" s="7"/>
      <c r="AF5" s="7"/>
      <c r="AG5" s="7"/>
      <c r="AH5" s="7"/>
      <c r="AI5" s="7"/>
      <c r="AJ5" s="7"/>
      <c r="AK5" s="7"/>
    </row>
    <row r="6" spans="1:37" ht="14" customHeight="1" thickBot="1">
      <c r="A6" s="549" t="s">
        <v>182</v>
      </c>
      <c r="B6" s="550">
        <f>SUM('A2. BASE MODEL'!B103:M103)</f>
        <v>12220038.289587626</v>
      </c>
      <c r="C6" s="550">
        <f>SUM('A2. BASE MODEL'!N103:Y103)</f>
        <v>19909477.441046335</v>
      </c>
      <c r="D6" s="550">
        <f>SUM('A2. BASE MODEL'!Z103:AK103)</f>
        <v>32431807.438612878</v>
      </c>
      <c r="E6" s="554">
        <f>SUM(B6:D6)</f>
        <v>64561323.169246837</v>
      </c>
      <c r="F6" s="7"/>
      <c r="G6" s="5"/>
      <c r="H6" s="15" t="s">
        <v>86</v>
      </c>
      <c r="I6" s="282">
        <f>-SUM(B14:M14)</f>
        <v>14294.215367659104</v>
      </c>
      <c r="J6" s="283">
        <f>-SUM(N14:Y14)</f>
        <v>20737.047603392493</v>
      </c>
      <c r="K6" s="283">
        <f>-SUM(Z14:AK14)</f>
        <v>30086.918688984802</v>
      </c>
      <c r="L6" s="555">
        <f>SUM(I6:K6)</f>
        <v>65118.181660036396</v>
      </c>
      <c r="M6" s="7"/>
      <c r="N6" s="7"/>
      <c r="O6" s="7"/>
      <c r="P6" s="7"/>
      <c r="Q6" s="7"/>
      <c r="R6" s="7"/>
      <c r="S6" s="7"/>
      <c r="T6" s="7"/>
      <c r="U6" s="7"/>
      <c r="V6" s="7"/>
      <c r="W6" s="7"/>
      <c r="X6" s="7"/>
      <c r="Y6" s="7"/>
      <c r="Z6" s="7"/>
      <c r="AA6" s="7"/>
      <c r="AB6" s="7"/>
      <c r="AC6" s="7"/>
      <c r="AD6" s="7"/>
      <c r="AE6" s="7"/>
      <c r="AF6" s="7"/>
      <c r="AG6" s="7"/>
      <c r="AH6" s="7"/>
      <c r="AI6" s="7"/>
      <c r="AJ6" s="7"/>
      <c r="AK6" s="7"/>
    </row>
    <row r="7" spans="1:37" ht="14" customHeight="1">
      <c r="A7" s="285" t="s">
        <v>118</v>
      </c>
      <c r="B7" s="191">
        <f>B5-B6</f>
        <v>-2358516.7128294241</v>
      </c>
      <c r="C7" s="191">
        <f>C5-C6</f>
        <v>-5598514.7998716123</v>
      </c>
      <c r="D7" s="191">
        <f>D5-D6</f>
        <v>-11668351.734548084</v>
      </c>
      <c r="E7" s="191">
        <f>E5-E6</f>
        <v>-19625383.247249119</v>
      </c>
      <c r="F7" s="7"/>
      <c r="G7" s="5"/>
      <c r="H7" s="5"/>
      <c r="I7" s="5"/>
      <c r="J7" s="5"/>
      <c r="K7" s="5"/>
      <c r="L7" s="5"/>
      <c r="M7" s="7"/>
      <c r="N7" s="7"/>
      <c r="O7" s="7"/>
      <c r="P7" s="7"/>
      <c r="Q7" s="7"/>
      <c r="R7" s="7"/>
      <c r="S7" s="7"/>
      <c r="T7" s="7"/>
      <c r="U7" s="7"/>
      <c r="V7" s="7"/>
      <c r="W7" s="7"/>
      <c r="X7" s="7"/>
      <c r="Y7" s="7"/>
      <c r="Z7" s="7"/>
      <c r="AA7" s="7"/>
      <c r="AB7" s="7"/>
      <c r="AC7" s="7"/>
      <c r="AD7" s="7"/>
      <c r="AE7" s="7"/>
      <c r="AF7" s="7"/>
      <c r="AG7" s="7"/>
      <c r="AH7" s="7"/>
      <c r="AI7" s="7"/>
      <c r="AJ7" s="7"/>
      <c r="AK7" s="7"/>
    </row>
    <row r="8" spans="1:37" ht="14" customHeight="1">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row>
    <row r="9" spans="1:37" s="297" customFormat="1" ht="14" customHeight="1" thickBot="1">
      <c r="A9" s="311" t="s">
        <v>34</v>
      </c>
      <c r="B9" s="298"/>
      <c r="C9" s="298"/>
      <c r="D9" s="298"/>
      <c r="E9" s="298"/>
      <c r="F9" s="298"/>
      <c r="G9" s="298"/>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row>
    <row r="10" spans="1:37" ht="14" customHeight="1" thickTop="1">
      <c r="A10" s="286"/>
      <c r="B10" s="287" t="s">
        <v>5</v>
      </c>
      <c r="C10" s="287" t="s">
        <v>6</v>
      </c>
      <c r="D10" s="287" t="s">
        <v>7</v>
      </c>
      <c r="E10" s="287" t="s">
        <v>8</v>
      </c>
      <c r="F10" s="287" t="s">
        <v>9</v>
      </c>
      <c r="G10" s="287" t="s">
        <v>10</v>
      </c>
      <c r="H10" s="287" t="s">
        <v>11</v>
      </c>
      <c r="I10" s="287" t="s">
        <v>12</v>
      </c>
      <c r="J10" s="287" t="s">
        <v>13</v>
      </c>
      <c r="K10" s="287" t="s">
        <v>14</v>
      </c>
      <c r="L10" s="287" t="s">
        <v>15</v>
      </c>
      <c r="M10" s="287" t="s">
        <v>16</v>
      </c>
      <c r="N10" s="287" t="s">
        <v>17</v>
      </c>
      <c r="O10" s="287" t="s">
        <v>18</v>
      </c>
      <c r="P10" s="287" t="s">
        <v>19</v>
      </c>
      <c r="Q10" s="287" t="s">
        <v>20</v>
      </c>
      <c r="R10" s="287" t="s">
        <v>21</v>
      </c>
      <c r="S10" s="287" t="s">
        <v>22</v>
      </c>
      <c r="T10" s="287" t="s">
        <v>23</v>
      </c>
      <c r="U10" s="287" t="s">
        <v>24</v>
      </c>
      <c r="V10" s="287" t="s">
        <v>25</v>
      </c>
      <c r="W10" s="287" t="s">
        <v>26</v>
      </c>
      <c r="X10" s="287" t="s">
        <v>27</v>
      </c>
      <c r="Y10" s="287" t="s">
        <v>28</v>
      </c>
      <c r="Z10" s="287" t="s">
        <v>46</v>
      </c>
      <c r="AA10" s="287" t="s">
        <v>47</v>
      </c>
      <c r="AB10" s="287" t="s">
        <v>48</v>
      </c>
      <c r="AC10" s="287" t="s">
        <v>49</v>
      </c>
      <c r="AD10" s="287" t="s">
        <v>50</v>
      </c>
      <c r="AE10" s="287" t="s">
        <v>51</v>
      </c>
      <c r="AF10" s="287" t="s">
        <v>52</v>
      </c>
      <c r="AG10" s="287" t="s">
        <v>53</v>
      </c>
      <c r="AH10" s="287" t="s">
        <v>54</v>
      </c>
      <c r="AI10" s="287" t="s">
        <v>55</v>
      </c>
      <c r="AJ10" s="287" t="s">
        <v>56</v>
      </c>
      <c r="AK10" s="287" t="s">
        <v>57</v>
      </c>
    </row>
    <row r="11" spans="1:37" ht="14" customHeight="1">
      <c r="A11" s="264" t="s">
        <v>186</v>
      </c>
      <c r="B11" s="21"/>
      <c r="C11" s="20"/>
      <c r="D11" s="20"/>
      <c r="E11" s="20"/>
      <c r="F11" s="20"/>
      <c r="G11" s="20"/>
      <c r="H11" s="20"/>
      <c r="I11" s="20"/>
      <c r="J11" s="20"/>
      <c r="K11" s="20"/>
      <c r="L11" s="20"/>
      <c r="M11" s="20"/>
      <c r="N11" s="20"/>
      <c r="O11" s="20"/>
      <c r="P11" s="20"/>
      <c r="Q11" s="20"/>
      <c r="R11" s="20"/>
      <c r="S11" s="20"/>
      <c r="T11" s="20"/>
      <c r="U11" s="20"/>
      <c r="V11" s="20"/>
      <c r="W11" s="20"/>
      <c r="X11" s="20"/>
      <c r="Y11" s="20"/>
      <c r="Z11" s="7"/>
      <c r="AA11" s="7"/>
      <c r="AB11" s="7"/>
      <c r="AC11" s="7"/>
      <c r="AD11" s="7"/>
      <c r="AE11" s="7"/>
      <c r="AF11" s="7"/>
      <c r="AG11" s="7"/>
      <c r="AH11" s="7"/>
      <c r="AI11" s="7"/>
      <c r="AJ11" s="7"/>
      <c r="AK11" s="7"/>
    </row>
    <row r="12" spans="1:37" s="5" customFormat="1" ht="14" customHeight="1">
      <c r="A12" s="265" t="s">
        <v>187</v>
      </c>
      <c r="B12" s="22">
        <f>'A1. BASE MODEL INPUTS'!$B$5</f>
        <v>50000</v>
      </c>
      <c r="C12" s="23">
        <f>B15</f>
        <v>51500</v>
      </c>
      <c r="D12" s="23">
        <f t="shared" ref="D12:Y12" si="0">C15</f>
        <v>53122.25</v>
      </c>
      <c r="E12" s="23">
        <f t="shared" si="0"/>
        <v>54795.600875000004</v>
      </c>
      <c r="F12" s="23">
        <f t="shared" si="0"/>
        <v>56521.662302562509</v>
      </c>
      <c r="G12" s="23">
        <f t="shared" si="0"/>
        <v>58302.094665093224</v>
      </c>
      <c r="H12" s="23">
        <f t="shared" si="0"/>
        <v>60138.610647043657</v>
      </c>
      <c r="I12" s="23">
        <f t="shared" si="0"/>
        <v>62032.976882425537</v>
      </c>
      <c r="J12" s="23">
        <f t="shared" si="0"/>
        <v>63987.015654221941</v>
      </c>
      <c r="K12" s="23">
        <f t="shared" si="0"/>
        <v>66002.606647329943</v>
      </c>
      <c r="L12" s="23">
        <f t="shared" si="0"/>
        <v>68081.688756720832</v>
      </c>
      <c r="M12" s="23">
        <f t="shared" si="0"/>
        <v>70226.261952557543</v>
      </c>
      <c r="N12" s="23">
        <f t="shared" si="0"/>
        <v>72438.389204063118</v>
      </c>
      <c r="O12" s="23">
        <f t="shared" si="0"/>
        <v>74720.198463991095</v>
      </c>
      <c r="P12" s="23">
        <f t="shared" si="0"/>
        <v>77073.884715606808</v>
      </c>
      <c r="Q12" s="23">
        <f t="shared" si="0"/>
        <v>79501.712084148414</v>
      </c>
      <c r="R12" s="23">
        <f t="shared" si="0"/>
        <v>82006.016014799097</v>
      </c>
      <c r="S12" s="23">
        <f t="shared" si="0"/>
        <v>84589.205519265262</v>
      </c>
      <c r="T12" s="23">
        <f t="shared" si="0"/>
        <v>87253.765493122119</v>
      </c>
      <c r="U12" s="23">
        <f t="shared" si="0"/>
        <v>90002.25910615547</v>
      </c>
      <c r="V12" s="23">
        <f t="shared" si="0"/>
        <v>92837.330267999365</v>
      </c>
      <c r="W12" s="23">
        <f t="shared" si="0"/>
        <v>95761.706171441343</v>
      </c>
      <c r="X12" s="23">
        <f t="shared" si="0"/>
        <v>98778.199915841746</v>
      </c>
      <c r="Y12" s="23">
        <f t="shared" si="0"/>
        <v>101889.71321319076</v>
      </c>
      <c r="Z12" s="23">
        <f t="shared" ref="Z12" si="1">Y15</f>
        <v>105099.23917940627</v>
      </c>
      <c r="AA12" s="23">
        <f t="shared" ref="AA12" si="2">Z15</f>
        <v>108409.86521355757</v>
      </c>
      <c r="AB12" s="23">
        <f t="shared" ref="AB12" si="3">AA15</f>
        <v>111824.77596778463</v>
      </c>
      <c r="AC12" s="23">
        <f t="shared" ref="AC12" si="4">AB15</f>
        <v>115347.25641076984</v>
      </c>
      <c r="AD12" s="23">
        <f t="shared" ref="AD12" si="5">AC15</f>
        <v>118980.69498770908</v>
      </c>
      <c r="AE12" s="23">
        <f t="shared" ref="AE12" si="6">AD15</f>
        <v>122728.58687982192</v>
      </c>
      <c r="AF12" s="23">
        <f t="shared" ref="AF12" si="7">AE15</f>
        <v>126594.5373665363</v>
      </c>
      <c r="AG12" s="23">
        <f t="shared" ref="AG12" si="8">AF15</f>
        <v>130582.26529358221</v>
      </c>
      <c r="AH12" s="23">
        <f t="shared" ref="AH12" si="9">AG15</f>
        <v>134695.60665033004</v>
      </c>
      <c r="AI12" s="23">
        <f t="shared" ref="AI12" si="10">AH15</f>
        <v>138938.51825981544</v>
      </c>
      <c r="AJ12" s="23">
        <f t="shared" ref="AJ12" si="11">AI15</f>
        <v>143315.08158499963</v>
      </c>
      <c r="AK12" s="23">
        <f t="shared" ref="AK12" si="12">AJ15</f>
        <v>147829.50665492713</v>
      </c>
    </row>
    <row r="13" spans="1:37" s="5" customFormat="1" ht="14" customHeight="1">
      <c r="A13" s="270" t="s">
        <v>188</v>
      </c>
      <c r="B13" s="289">
        <f>B12*'A1. BASE MODEL INPUTS'!B6</f>
        <v>2500</v>
      </c>
      <c r="C13" s="288">
        <f>C12*'A1. BASE MODEL INPUTS'!$B$6*(1+'A1. BASE MODEL INPUTS'!$B$7)</f>
        <v>2652.25</v>
      </c>
      <c r="D13" s="288">
        <f>D12*'A1. BASE MODEL INPUTS'!$B$6*(1+'A1. BASE MODEL INPUTS'!$B$7)</f>
        <v>2735.7958750000003</v>
      </c>
      <c r="E13" s="288">
        <f>E12*'A1. BASE MODEL INPUTS'!$B$6*(1+'A1. BASE MODEL INPUTS'!$B$7)</f>
        <v>2821.9734450625006</v>
      </c>
      <c r="F13" s="288">
        <f>F12*'A1. BASE MODEL INPUTS'!$B$6*(1+'A1. BASE MODEL INPUTS'!$B$7)</f>
        <v>2910.8656085819694</v>
      </c>
      <c r="G13" s="288">
        <f>G12*'A1. BASE MODEL INPUTS'!$B$6*(1+'A1. BASE MODEL INPUTS'!$B$7)</f>
        <v>3002.5578752523011</v>
      </c>
      <c r="H13" s="288">
        <f>H12*'A1. BASE MODEL INPUTS'!$B$6*(1+'A1. BASE MODEL INPUTS'!$B$7)</f>
        <v>3097.1384483227484</v>
      </c>
      <c r="I13" s="288">
        <f>I12*'A1. BASE MODEL INPUTS'!$B$6*(1+'A1. BASE MODEL INPUTS'!$B$7)</f>
        <v>3194.6983094449151</v>
      </c>
      <c r="J13" s="288">
        <f>J12*'A1. BASE MODEL INPUTS'!$B$6*(1+'A1. BASE MODEL INPUTS'!$B$7)</f>
        <v>3295.33130619243</v>
      </c>
      <c r="K13" s="288">
        <f>K12*'A1. BASE MODEL INPUTS'!$B$6*(1+'A1. BASE MODEL INPUTS'!$B$7)</f>
        <v>3399.1342423374927</v>
      </c>
      <c r="L13" s="288">
        <f>L12*'A1. BASE MODEL INPUTS'!$B$6*(1+'A1. BASE MODEL INPUTS'!$B$7)</f>
        <v>3506.2069709711232</v>
      </c>
      <c r="M13" s="288">
        <f>M12*'A1. BASE MODEL INPUTS'!$B$6*(1+'A1. BASE MODEL INPUTS'!$B$7)</f>
        <v>3616.6524905567135</v>
      </c>
      <c r="N13" s="288">
        <f>N12*'A1. BASE MODEL INPUTS'!$B$6*(1+'A1. BASE MODEL INPUTS'!$B$7)</f>
        <v>3730.577044009251</v>
      </c>
      <c r="O13" s="288">
        <f>O12*'A1. BASE MODEL INPUTS'!$B$6*(1+'A1. BASE MODEL INPUTS'!$B$7)</f>
        <v>3848.0902208955417</v>
      </c>
      <c r="P13" s="288">
        <f>P12*'A1. BASE MODEL INPUTS'!$B$6*(1+'A1. BASE MODEL INPUTS'!$B$7)</f>
        <v>3969.3050628537508</v>
      </c>
      <c r="Q13" s="288">
        <f>Q12*'A1. BASE MODEL INPUTS'!$B$6*(1+'A1. BASE MODEL INPUTS'!$B$7)</f>
        <v>4094.3381723336438</v>
      </c>
      <c r="R13" s="288">
        <f>R12*'A1. BASE MODEL INPUTS'!$B$6*(1+'A1. BASE MODEL INPUTS'!$B$7)</f>
        <v>4223.3098247621538</v>
      </c>
      <c r="S13" s="288">
        <f>S12*'A1. BASE MODEL INPUTS'!$B$6*(1+'A1. BASE MODEL INPUTS'!$B$7)</f>
        <v>4356.3440842421614</v>
      </c>
      <c r="T13" s="288">
        <f>T12*'A1. BASE MODEL INPUTS'!$B$6*(1+'A1. BASE MODEL INPUTS'!$B$7)</f>
        <v>4493.568922895789</v>
      </c>
      <c r="U13" s="288">
        <f>U12*'A1. BASE MODEL INPUTS'!$B$6*(1+'A1. BASE MODEL INPUTS'!$B$7)</f>
        <v>4635.1163439670072</v>
      </c>
      <c r="V13" s="288">
        <f>V12*'A1. BASE MODEL INPUTS'!$B$6*(1+'A1. BASE MODEL INPUTS'!$B$7)</f>
        <v>4781.1225088019673</v>
      </c>
      <c r="W13" s="288">
        <f>W12*'A1. BASE MODEL INPUTS'!$B$6*(1+'A1. BASE MODEL INPUTS'!$B$7)</f>
        <v>4931.7278678292296</v>
      </c>
      <c r="X13" s="288">
        <f>X12*'A1. BASE MODEL INPUTS'!$B$6*(1+'A1. BASE MODEL INPUTS'!$B$7)</f>
        <v>5087.0772956658511</v>
      </c>
      <c r="Y13" s="288">
        <f>Y12*'A1. BASE MODEL INPUTS'!$B$6*(1+'A1. BASE MODEL INPUTS'!$B$7)</f>
        <v>5247.3202304793249</v>
      </c>
      <c r="Z13" s="288">
        <f>Z12*'A1. BASE MODEL INPUTS'!$B$6*(1+'A1. BASE MODEL INPUTS'!$B$7)</f>
        <v>5412.6108177394235</v>
      </c>
      <c r="AA13" s="288">
        <f>AA12*'A1. BASE MODEL INPUTS'!$B$6*(1+'A1. BASE MODEL INPUTS'!$B$7)</f>
        <v>5583.1080584982146</v>
      </c>
      <c r="AB13" s="288">
        <f>AB12*'A1. BASE MODEL INPUTS'!$B$6*(1+'A1. BASE MODEL INPUTS'!$B$7)</f>
        <v>5758.9759623409091</v>
      </c>
      <c r="AC13" s="288">
        <f>AC12*'A1. BASE MODEL INPUTS'!$B$6*(1+'A1. BASE MODEL INPUTS'!$B$7)</f>
        <v>5940.383705154647</v>
      </c>
      <c r="AD13" s="288">
        <f>AD12*'A1. BASE MODEL INPUTS'!$B$6*(1+'A1. BASE MODEL INPUTS'!$B$7)</f>
        <v>6127.5057918670182</v>
      </c>
      <c r="AE13" s="288">
        <f>AE12*'A1. BASE MODEL INPUTS'!$B$6*(1+'A1. BASE MODEL INPUTS'!$B$7)</f>
        <v>6320.5222243108292</v>
      </c>
      <c r="AF13" s="288">
        <f>AF12*'A1. BASE MODEL INPUTS'!$B$6*(1+'A1. BASE MODEL INPUTS'!$B$7)</f>
        <v>6519.6186743766202</v>
      </c>
      <c r="AG13" s="288">
        <f>AG12*'A1. BASE MODEL INPUTS'!$B$6*(1+'A1. BASE MODEL INPUTS'!$B$7)</f>
        <v>6724.9866626194844</v>
      </c>
      <c r="AH13" s="288">
        <f>AH12*'A1. BASE MODEL INPUTS'!$B$6*(1+'A1. BASE MODEL INPUTS'!$B$7)</f>
        <v>6936.8237424919971</v>
      </c>
      <c r="AI13" s="288">
        <f>AI12*'A1. BASE MODEL INPUTS'!$B$6*(1+'A1. BASE MODEL INPUTS'!$B$7)</f>
        <v>7155.3336903804957</v>
      </c>
      <c r="AJ13" s="288">
        <f>AJ12*'A1. BASE MODEL INPUTS'!$B$6*(1+'A1. BASE MODEL INPUTS'!$B$7)</f>
        <v>7380.7267016274818</v>
      </c>
      <c r="AK13" s="288">
        <f>AK12*'A1. BASE MODEL INPUTS'!$B$6*(1+'A1. BASE MODEL INPUTS'!$B$7)</f>
        <v>7613.2195927287476</v>
      </c>
    </row>
    <row r="14" spans="1:37" s="5" customFormat="1" ht="14" customHeight="1">
      <c r="A14" s="266" t="s">
        <v>189</v>
      </c>
      <c r="B14" s="24">
        <f>-B12*('A1. BASE MODEL INPUTS'!$E$12+'A1. BASE MODEL INPUTS'!$E$13)</f>
        <v>-1000</v>
      </c>
      <c r="C14" s="24">
        <f>-C12*('A1. BASE MODEL INPUTS'!$E$12+'A1. BASE MODEL INPUTS'!$E$13)</f>
        <v>-1030</v>
      </c>
      <c r="D14" s="24">
        <f>-D12*('A1. BASE MODEL INPUTS'!$E$12+'A1. BASE MODEL INPUTS'!$E$13)</f>
        <v>-1062.4449999999999</v>
      </c>
      <c r="E14" s="24">
        <f>-E12*('A1. BASE MODEL INPUTS'!$E$12+'A1. BASE MODEL INPUTS'!$E$13)</f>
        <v>-1095.9120175</v>
      </c>
      <c r="F14" s="24">
        <f>-F12*('A1. BASE MODEL INPUTS'!$E$12+'A1. BASE MODEL INPUTS'!$E$13)</f>
        <v>-1130.4332460512503</v>
      </c>
      <c r="G14" s="24">
        <f>-G12*('A1. BASE MODEL INPUTS'!$E$12+'A1. BASE MODEL INPUTS'!$E$13)</f>
        <v>-1166.0418933018645</v>
      </c>
      <c r="H14" s="24">
        <f>-H12*('A1. BASE MODEL INPUTS'!$E$12+'A1. BASE MODEL INPUTS'!$E$13)</f>
        <v>-1202.7722129408733</v>
      </c>
      <c r="I14" s="24">
        <f>-I12*('A1. BASE MODEL INPUTS'!$E$12+'A1. BASE MODEL INPUTS'!$E$13)</f>
        <v>-1240.6595376485109</v>
      </c>
      <c r="J14" s="24">
        <f>-J12*('A1. BASE MODEL INPUTS'!$E$12+'A1. BASE MODEL INPUTS'!$E$13)</f>
        <v>-1279.7403130844389</v>
      </c>
      <c r="K14" s="24">
        <f>-K12*('A1. BASE MODEL INPUTS'!$E$12+'A1. BASE MODEL INPUTS'!$E$13)</f>
        <v>-1320.0521329465989</v>
      </c>
      <c r="L14" s="24">
        <f>-L12*('A1. BASE MODEL INPUTS'!$E$12+'A1. BASE MODEL INPUTS'!$E$13)</f>
        <v>-1361.6337751344167</v>
      </c>
      <c r="M14" s="24">
        <f>-M12*('A1. BASE MODEL INPUTS'!$E$12+'A1. BASE MODEL INPUTS'!$E$13)</f>
        <v>-1404.5252390511509</v>
      </c>
      <c r="N14" s="24">
        <f>-N12*('A1. BASE MODEL INPUTS'!$E$12+'A1. BASE MODEL INPUTS'!$E$13)</f>
        <v>-1448.7677840812623</v>
      </c>
      <c r="O14" s="24">
        <f>-O12*('A1. BASE MODEL INPUTS'!$E$12+'A1. BASE MODEL INPUTS'!$E$13)</f>
        <v>-1494.4039692798219</v>
      </c>
      <c r="P14" s="24">
        <f>-P12*('A1. BASE MODEL INPUTS'!$E$12+'A1. BASE MODEL INPUTS'!$E$13)</f>
        <v>-1541.4776943121362</v>
      </c>
      <c r="Q14" s="24">
        <f>-Q12*('A1. BASE MODEL INPUTS'!$E$12+'A1. BASE MODEL INPUTS'!$E$13)</f>
        <v>-1590.0342416829683</v>
      </c>
      <c r="R14" s="24">
        <f>-R12*('A1. BASE MODEL INPUTS'!$E$12+'A1. BASE MODEL INPUTS'!$E$13)</f>
        <v>-1640.1203202959821</v>
      </c>
      <c r="S14" s="24">
        <f>-S12*('A1. BASE MODEL INPUTS'!$E$12+'A1. BASE MODEL INPUTS'!$E$13)</f>
        <v>-1691.7841103853052</v>
      </c>
      <c r="T14" s="24">
        <f>-T12*('A1. BASE MODEL INPUTS'!$E$12+'A1. BASE MODEL INPUTS'!$E$13)</f>
        <v>-1745.0753098624425</v>
      </c>
      <c r="U14" s="24">
        <f>-U12*('A1. BASE MODEL INPUTS'!$E$12+'A1. BASE MODEL INPUTS'!$E$13)</f>
        <v>-1800.0451821231095</v>
      </c>
      <c r="V14" s="24">
        <f>-V12*('A1. BASE MODEL INPUTS'!$E$12+'A1. BASE MODEL INPUTS'!$E$13)</f>
        <v>-1856.7466053599874</v>
      </c>
      <c r="W14" s="24">
        <f>-W12*('A1. BASE MODEL INPUTS'!$E$12+'A1. BASE MODEL INPUTS'!$E$13)</f>
        <v>-1915.2341234288269</v>
      </c>
      <c r="X14" s="24">
        <f>-X12*('A1. BASE MODEL INPUTS'!$E$12+'A1. BASE MODEL INPUTS'!$E$13)</f>
        <v>-1975.5639983168351</v>
      </c>
      <c r="Y14" s="24">
        <f>-Y12*('A1. BASE MODEL INPUTS'!$E$12+'A1. BASE MODEL INPUTS'!$E$13)</f>
        <v>-2037.7942642638152</v>
      </c>
      <c r="Z14" s="24">
        <f>-Z12*('A1. BASE MODEL INPUTS'!$E$12+'A1. BASE MODEL INPUTS'!$E$13)</f>
        <v>-2101.9847835881255</v>
      </c>
      <c r="AA14" s="24">
        <f>-AA12*('A1. BASE MODEL INPUTS'!$E$12+'A1. BASE MODEL INPUTS'!$E$13)</f>
        <v>-2168.1973042711516</v>
      </c>
      <c r="AB14" s="24">
        <f>-AB12*('A1. BASE MODEL INPUTS'!$E$12+'A1. BASE MODEL INPUTS'!$E$13)</f>
        <v>-2236.4955193556925</v>
      </c>
      <c r="AC14" s="24">
        <f>-AC12*('A1. BASE MODEL INPUTS'!$E$12+'A1. BASE MODEL INPUTS'!$E$13)</f>
        <v>-2306.9451282153968</v>
      </c>
      <c r="AD14" s="24">
        <f>-AD12*('A1. BASE MODEL INPUTS'!$E$12+'A1. BASE MODEL INPUTS'!$E$13)</f>
        <v>-2379.6138997541816</v>
      </c>
      <c r="AE14" s="24">
        <f>-AE12*('A1. BASE MODEL INPUTS'!$E$12+'A1. BASE MODEL INPUTS'!$E$13)</f>
        <v>-2454.5717375964382</v>
      </c>
      <c r="AF14" s="24">
        <f>-AF12*('A1. BASE MODEL INPUTS'!$E$12+'A1. BASE MODEL INPUTS'!$E$13)</f>
        <v>-2531.8907473307258</v>
      </c>
      <c r="AG14" s="24">
        <f>-AG12*('A1. BASE MODEL INPUTS'!$E$12+'A1. BASE MODEL INPUTS'!$E$13)</f>
        <v>-2611.6453058716443</v>
      </c>
      <c r="AH14" s="24">
        <f>-AH12*('A1. BASE MODEL INPUTS'!$E$12+'A1. BASE MODEL INPUTS'!$E$13)</f>
        <v>-2693.9121330066009</v>
      </c>
      <c r="AI14" s="24">
        <f>-AI12*('A1. BASE MODEL INPUTS'!$E$12+'A1. BASE MODEL INPUTS'!$E$13)</f>
        <v>-2778.7703651963088</v>
      </c>
      <c r="AJ14" s="24">
        <f>-AJ12*('A1. BASE MODEL INPUTS'!$E$12+'A1. BASE MODEL INPUTS'!$E$13)</f>
        <v>-2866.3016316999924</v>
      </c>
      <c r="AK14" s="24">
        <f>-AK12*('A1. BASE MODEL INPUTS'!$E$12+'A1. BASE MODEL INPUTS'!$E$13)</f>
        <v>-2956.5901330985425</v>
      </c>
    </row>
    <row r="15" spans="1:37" s="5" customFormat="1" ht="14" customHeight="1">
      <c r="A15" s="266" t="s">
        <v>190</v>
      </c>
      <c r="B15" s="24">
        <f t="shared" ref="B15:AK15" si="13">SUM(B12:B14)</f>
        <v>51500</v>
      </c>
      <c r="C15" s="24">
        <f t="shared" si="13"/>
        <v>53122.25</v>
      </c>
      <c r="D15" s="24">
        <f t="shared" si="13"/>
        <v>54795.600875000004</v>
      </c>
      <c r="E15" s="24">
        <f t="shared" si="13"/>
        <v>56521.662302562509</v>
      </c>
      <c r="F15" s="24">
        <f t="shared" si="13"/>
        <v>58302.094665093224</v>
      </c>
      <c r="G15" s="24">
        <f t="shared" si="13"/>
        <v>60138.610647043657</v>
      </c>
      <c r="H15" s="24">
        <f t="shared" si="13"/>
        <v>62032.976882425537</v>
      </c>
      <c r="I15" s="24">
        <f t="shared" si="13"/>
        <v>63987.015654221941</v>
      </c>
      <c r="J15" s="24">
        <f t="shared" si="13"/>
        <v>66002.606647329943</v>
      </c>
      <c r="K15" s="24">
        <f t="shared" si="13"/>
        <v>68081.688756720832</v>
      </c>
      <c r="L15" s="24">
        <f t="shared" si="13"/>
        <v>70226.261952557543</v>
      </c>
      <c r="M15" s="24">
        <f t="shared" si="13"/>
        <v>72438.389204063118</v>
      </c>
      <c r="N15" s="24">
        <f t="shared" si="13"/>
        <v>74720.198463991095</v>
      </c>
      <c r="O15" s="24">
        <f t="shared" si="13"/>
        <v>77073.884715606808</v>
      </c>
      <c r="P15" s="24">
        <f t="shared" si="13"/>
        <v>79501.712084148414</v>
      </c>
      <c r="Q15" s="24">
        <f t="shared" si="13"/>
        <v>82006.016014799097</v>
      </c>
      <c r="R15" s="24">
        <f t="shared" si="13"/>
        <v>84589.205519265262</v>
      </c>
      <c r="S15" s="24">
        <f t="shared" si="13"/>
        <v>87253.765493122119</v>
      </c>
      <c r="T15" s="24">
        <f t="shared" si="13"/>
        <v>90002.25910615547</v>
      </c>
      <c r="U15" s="24">
        <f t="shared" si="13"/>
        <v>92837.330267999365</v>
      </c>
      <c r="V15" s="24">
        <f t="shared" si="13"/>
        <v>95761.706171441343</v>
      </c>
      <c r="W15" s="24">
        <f t="shared" si="13"/>
        <v>98778.199915841746</v>
      </c>
      <c r="X15" s="24">
        <f t="shared" si="13"/>
        <v>101889.71321319076</v>
      </c>
      <c r="Y15" s="24">
        <f t="shared" si="13"/>
        <v>105099.23917940627</v>
      </c>
      <c r="Z15" s="24">
        <f t="shared" si="13"/>
        <v>108409.86521355757</v>
      </c>
      <c r="AA15" s="24">
        <f t="shared" si="13"/>
        <v>111824.77596778463</v>
      </c>
      <c r="AB15" s="24">
        <f t="shared" si="13"/>
        <v>115347.25641076984</v>
      </c>
      <c r="AC15" s="24">
        <f t="shared" si="13"/>
        <v>118980.69498770908</v>
      </c>
      <c r="AD15" s="24">
        <f t="shared" si="13"/>
        <v>122728.58687982192</v>
      </c>
      <c r="AE15" s="24">
        <f t="shared" si="13"/>
        <v>126594.5373665363</v>
      </c>
      <c r="AF15" s="24">
        <f t="shared" si="13"/>
        <v>130582.26529358221</v>
      </c>
      <c r="AG15" s="24">
        <f t="shared" si="13"/>
        <v>134695.60665033004</v>
      </c>
      <c r="AH15" s="24">
        <f t="shared" si="13"/>
        <v>138938.51825981544</v>
      </c>
      <c r="AI15" s="24">
        <f t="shared" si="13"/>
        <v>143315.08158499963</v>
      </c>
      <c r="AJ15" s="24">
        <f t="shared" si="13"/>
        <v>147829.50665492713</v>
      </c>
      <c r="AK15" s="24">
        <f t="shared" si="13"/>
        <v>152486.13611455733</v>
      </c>
    </row>
    <row r="16" spans="1:37" s="5" customFormat="1" ht="14" customHeight="1">
      <c r="A16" s="266"/>
      <c r="B16" s="147"/>
      <c r="C16" s="25"/>
      <c r="D16" s="25"/>
      <c r="E16" s="25"/>
      <c r="F16" s="25"/>
      <c r="G16" s="25"/>
      <c r="H16" s="26"/>
      <c r="I16" s="27"/>
      <c r="J16" s="28"/>
      <c r="K16" s="14"/>
      <c r="L16" s="33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row>
    <row r="17" spans="1:37" s="5" customFormat="1" ht="14" customHeight="1" thickBot="1">
      <c r="A17" s="307" t="s">
        <v>4</v>
      </c>
      <c r="B17" s="299"/>
      <c r="C17" s="300"/>
      <c r="D17" s="300"/>
      <c r="E17" s="300"/>
      <c r="F17" s="300"/>
      <c r="G17" s="300"/>
      <c r="H17" s="301"/>
      <c r="I17" s="302"/>
      <c r="J17" s="303"/>
      <c r="K17" s="304"/>
      <c r="L17" s="304"/>
      <c r="M17" s="304"/>
      <c r="N17" s="304"/>
      <c r="O17" s="304"/>
      <c r="P17" s="304"/>
      <c r="Q17" s="304"/>
      <c r="R17" s="304"/>
      <c r="S17" s="304"/>
      <c r="T17" s="304"/>
      <c r="U17" s="304"/>
      <c r="V17" s="304"/>
      <c r="W17" s="304"/>
      <c r="X17" s="304"/>
      <c r="Y17" s="304"/>
      <c r="Z17" s="304"/>
      <c r="AA17" s="304"/>
      <c r="AB17" s="304"/>
      <c r="AC17" s="304"/>
      <c r="AD17" s="304"/>
      <c r="AE17" s="304"/>
      <c r="AF17" s="304"/>
      <c r="AG17" s="304"/>
      <c r="AH17" s="304"/>
      <c r="AI17" s="304"/>
      <c r="AJ17" s="304"/>
      <c r="AK17" s="304"/>
    </row>
    <row r="18" spans="1:37" s="5" customFormat="1" ht="14" customHeight="1">
      <c r="A18" s="265" t="s">
        <v>191</v>
      </c>
      <c r="B18" s="24">
        <f t="shared" ref="B18:AK18" si="14">B13</f>
        <v>2500</v>
      </c>
      <c r="C18" s="24">
        <f t="shared" si="14"/>
        <v>2652.25</v>
      </c>
      <c r="D18" s="24">
        <f t="shared" si="14"/>
        <v>2735.7958750000003</v>
      </c>
      <c r="E18" s="24">
        <f t="shared" si="14"/>
        <v>2821.9734450625006</v>
      </c>
      <c r="F18" s="24">
        <f t="shared" si="14"/>
        <v>2910.8656085819694</v>
      </c>
      <c r="G18" s="24">
        <f t="shared" si="14"/>
        <v>3002.5578752523011</v>
      </c>
      <c r="H18" s="24">
        <f t="shared" si="14"/>
        <v>3097.1384483227484</v>
      </c>
      <c r="I18" s="24">
        <f t="shared" si="14"/>
        <v>3194.6983094449151</v>
      </c>
      <c r="J18" s="24">
        <f t="shared" si="14"/>
        <v>3295.33130619243</v>
      </c>
      <c r="K18" s="24">
        <f t="shared" si="14"/>
        <v>3399.1342423374927</v>
      </c>
      <c r="L18" s="24">
        <f t="shared" si="14"/>
        <v>3506.2069709711232</v>
      </c>
      <c r="M18" s="24">
        <f t="shared" si="14"/>
        <v>3616.6524905567135</v>
      </c>
      <c r="N18" s="24">
        <f t="shared" si="14"/>
        <v>3730.577044009251</v>
      </c>
      <c r="O18" s="24">
        <f t="shared" si="14"/>
        <v>3848.0902208955417</v>
      </c>
      <c r="P18" s="24">
        <f t="shared" si="14"/>
        <v>3969.3050628537508</v>
      </c>
      <c r="Q18" s="24">
        <f t="shared" si="14"/>
        <v>4094.3381723336438</v>
      </c>
      <c r="R18" s="24">
        <f t="shared" si="14"/>
        <v>4223.3098247621538</v>
      </c>
      <c r="S18" s="24">
        <f t="shared" si="14"/>
        <v>4356.3440842421614</v>
      </c>
      <c r="T18" s="24">
        <f t="shared" si="14"/>
        <v>4493.568922895789</v>
      </c>
      <c r="U18" s="24">
        <f t="shared" si="14"/>
        <v>4635.1163439670072</v>
      </c>
      <c r="V18" s="24">
        <f t="shared" si="14"/>
        <v>4781.1225088019673</v>
      </c>
      <c r="W18" s="24">
        <f t="shared" si="14"/>
        <v>4931.7278678292296</v>
      </c>
      <c r="X18" s="24">
        <f t="shared" si="14"/>
        <v>5087.0772956658511</v>
      </c>
      <c r="Y18" s="24">
        <f t="shared" si="14"/>
        <v>5247.3202304793249</v>
      </c>
      <c r="Z18" s="24">
        <f t="shared" si="14"/>
        <v>5412.6108177394235</v>
      </c>
      <c r="AA18" s="24">
        <f t="shared" si="14"/>
        <v>5583.1080584982146</v>
      </c>
      <c r="AB18" s="24">
        <f t="shared" si="14"/>
        <v>5758.9759623409091</v>
      </c>
      <c r="AC18" s="24">
        <f t="shared" si="14"/>
        <v>5940.383705154647</v>
      </c>
      <c r="AD18" s="24">
        <f t="shared" si="14"/>
        <v>6127.5057918670182</v>
      </c>
      <c r="AE18" s="24">
        <f t="shared" si="14"/>
        <v>6320.5222243108292</v>
      </c>
      <c r="AF18" s="24">
        <f t="shared" si="14"/>
        <v>6519.6186743766202</v>
      </c>
      <c r="AG18" s="24">
        <f t="shared" si="14"/>
        <v>6724.9866626194844</v>
      </c>
      <c r="AH18" s="24">
        <f t="shared" si="14"/>
        <v>6936.8237424919971</v>
      </c>
      <c r="AI18" s="24">
        <f t="shared" si="14"/>
        <v>7155.3336903804957</v>
      </c>
      <c r="AJ18" s="24">
        <f t="shared" si="14"/>
        <v>7380.7267016274818</v>
      </c>
      <c r="AK18" s="24">
        <f t="shared" si="14"/>
        <v>7613.2195927287476</v>
      </c>
    </row>
    <row r="19" spans="1:37" s="154" customFormat="1" ht="14" customHeight="1">
      <c r="A19" s="267" t="s">
        <v>192</v>
      </c>
      <c r="B19" s="80">
        <f>B18*'A1. BASE MODEL INPUTS'!$E$6</f>
        <v>75000</v>
      </c>
      <c r="C19" s="80">
        <f>C18*'A1. BASE MODEL INPUTS'!$E$6</f>
        <v>79567.5</v>
      </c>
      <c r="D19" s="80">
        <f>D18*'A1. BASE MODEL INPUTS'!$E$6</f>
        <v>82073.876250000001</v>
      </c>
      <c r="E19" s="80">
        <f>E18*'A1. BASE MODEL INPUTS'!$E$6</f>
        <v>84659.20335187501</v>
      </c>
      <c r="F19" s="80">
        <f>F18*'A1. BASE MODEL INPUTS'!$E$6</f>
        <v>87325.968257459084</v>
      </c>
      <c r="G19" s="80">
        <f>G18*'A1. BASE MODEL INPUTS'!$E$6</f>
        <v>90076.736257569035</v>
      </c>
      <c r="H19" s="80">
        <f>H18*'A1. BASE MODEL INPUTS'!$E$6</f>
        <v>92914.153449682461</v>
      </c>
      <c r="I19" s="80">
        <f>I18*'A1. BASE MODEL INPUTS'!$E$6</f>
        <v>95840.949283347451</v>
      </c>
      <c r="J19" s="80">
        <f>J18*'A1. BASE MODEL INPUTS'!$E$6</f>
        <v>98859.939185772906</v>
      </c>
      <c r="K19" s="80">
        <f>K18*'A1. BASE MODEL INPUTS'!$E$6</f>
        <v>101974.02727012477</v>
      </c>
      <c r="L19" s="80">
        <f>L18*'A1. BASE MODEL INPUTS'!$E$6</f>
        <v>105186.2091291337</v>
      </c>
      <c r="M19" s="80">
        <f>M18*'A1. BASE MODEL INPUTS'!$E$6</f>
        <v>108499.57471670141</v>
      </c>
      <c r="N19" s="80">
        <f>N18*'A1. BASE MODEL INPUTS'!$E$6</f>
        <v>111917.31132027753</v>
      </c>
      <c r="O19" s="80">
        <f>O18*'A1. BASE MODEL INPUTS'!$E$6</f>
        <v>115442.70662686625</v>
      </c>
      <c r="P19" s="80">
        <f>P18*'A1. BASE MODEL INPUTS'!$E$6</f>
        <v>119079.15188561252</v>
      </c>
      <c r="Q19" s="80">
        <f>Q18*'A1. BASE MODEL INPUTS'!$E$6</f>
        <v>122830.14517000932</v>
      </c>
      <c r="R19" s="80">
        <f>R18*'A1. BASE MODEL INPUTS'!$E$6</f>
        <v>126699.29474286461</v>
      </c>
      <c r="S19" s="80">
        <f>S18*'A1. BASE MODEL INPUTS'!$E$6</f>
        <v>130690.32252726484</v>
      </c>
      <c r="T19" s="80">
        <f>T18*'A1. BASE MODEL INPUTS'!$E$6</f>
        <v>134807.06768687366</v>
      </c>
      <c r="U19" s="80">
        <f>U18*'A1. BASE MODEL INPUTS'!$E$6</f>
        <v>139053.49031901022</v>
      </c>
      <c r="V19" s="80">
        <f>V18*'A1. BASE MODEL INPUTS'!$E$6</f>
        <v>143433.67526405901</v>
      </c>
      <c r="W19" s="80">
        <f>W18*'A1. BASE MODEL INPUTS'!$E$6</f>
        <v>147951.83603487688</v>
      </c>
      <c r="X19" s="80">
        <f>X18*'A1. BASE MODEL INPUTS'!$E$6</f>
        <v>152612.31886997554</v>
      </c>
      <c r="Y19" s="80">
        <f>Y18*'A1. BASE MODEL INPUTS'!$E$6</f>
        <v>157419.60691437975</v>
      </c>
      <c r="Z19" s="80">
        <f>Z18*'A1. BASE MODEL INPUTS'!$E$6</f>
        <v>162378.32453218271</v>
      </c>
      <c r="AA19" s="80">
        <f>AA18*'A1. BASE MODEL INPUTS'!$E$6</f>
        <v>167493.24175494644</v>
      </c>
      <c r="AB19" s="80">
        <f>AB18*'A1. BASE MODEL INPUTS'!$E$6</f>
        <v>172769.27887022728</v>
      </c>
      <c r="AC19" s="80">
        <f>AC18*'A1. BASE MODEL INPUTS'!$E$6</f>
        <v>178211.51115463942</v>
      </c>
      <c r="AD19" s="80">
        <f>AD18*'A1. BASE MODEL INPUTS'!$E$6</f>
        <v>183825.17375601054</v>
      </c>
      <c r="AE19" s="80">
        <f>AE18*'A1. BASE MODEL INPUTS'!$E$6</f>
        <v>189615.66672932488</v>
      </c>
      <c r="AF19" s="80">
        <f>AF18*'A1. BASE MODEL INPUTS'!$E$6</f>
        <v>195588.56023129862</v>
      </c>
      <c r="AG19" s="80">
        <f>AG18*'A1. BASE MODEL INPUTS'!$E$6</f>
        <v>201749.59987858453</v>
      </c>
      <c r="AH19" s="80">
        <f>AH18*'A1. BASE MODEL INPUTS'!$E$6</f>
        <v>208104.71227475992</v>
      </c>
      <c r="AI19" s="80">
        <f>AI18*'A1. BASE MODEL INPUTS'!$E$6</f>
        <v>214660.01071141486</v>
      </c>
      <c r="AJ19" s="80">
        <f>AJ18*'A1. BASE MODEL INPUTS'!$E$6</f>
        <v>221421.80104882445</v>
      </c>
      <c r="AK19" s="80">
        <f>AK18*'A1. BASE MODEL INPUTS'!$E$6</f>
        <v>228396.58778186241</v>
      </c>
    </row>
    <row r="20" spans="1:37" s="154" customFormat="1" ht="17" customHeight="1">
      <c r="A20" s="268" t="s">
        <v>193</v>
      </c>
      <c r="B20" s="147">
        <f>B15*'A1. BASE MODEL INPUTS'!$E$8</f>
        <v>103000</v>
      </c>
      <c r="C20" s="147">
        <f>C15*'A1. BASE MODEL INPUTS'!$E$8</f>
        <v>106244.5</v>
      </c>
      <c r="D20" s="147">
        <f>D15*'A1. BASE MODEL INPUTS'!$E$8</f>
        <v>109591.20175000001</v>
      </c>
      <c r="E20" s="147">
        <f>E15*'A1. BASE MODEL INPUTS'!$E$8</f>
        <v>113043.32460512502</v>
      </c>
      <c r="F20" s="147">
        <f>F15*'A1. BASE MODEL INPUTS'!$E$8</f>
        <v>116604.18933018645</v>
      </c>
      <c r="G20" s="147">
        <f>G15*'A1. BASE MODEL INPUTS'!$E$8</f>
        <v>120277.22129408731</v>
      </c>
      <c r="H20" s="147">
        <f>H15*'A1. BASE MODEL INPUTS'!$E$8</f>
        <v>124065.95376485107</v>
      </c>
      <c r="I20" s="147">
        <f>I15*'A1. BASE MODEL INPUTS'!$E$8</f>
        <v>127974.03130844388</v>
      </c>
      <c r="J20" s="147">
        <f>J15*'A1. BASE MODEL INPUTS'!$E$8</f>
        <v>132005.21329465989</v>
      </c>
      <c r="K20" s="147">
        <f>K15*'A1. BASE MODEL INPUTS'!$E$8</f>
        <v>136163.37751344166</v>
      </c>
      <c r="L20" s="147">
        <f>L15*'A1. BASE MODEL INPUTS'!$E$8</f>
        <v>140452.52390511509</v>
      </c>
      <c r="M20" s="147">
        <f>M15*'A1. BASE MODEL INPUTS'!$E$8</f>
        <v>144876.77840812624</v>
      </c>
      <c r="N20" s="147">
        <f>N15*'A1. BASE MODEL INPUTS'!$E$8</f>
        <v>149440.39692798219</v>
      </c>
      <c r="O20" s="147">
        <f>O15*'A1. BASE MODEL INPUTS'!$E$8</f>
        <v>154147.76943121362</v>
      </c>
      <c r="P20" s="147">
        <f>P15*'A1. BASE MODEL INPUTS'!$E$8</f>
        <v>159003.42416829683</v>
      </c>
      <c r="Q20" s="147">
        <f>Q15*'A1. BASE MODEL INPUTS'!$E$8</f>
        <v>164012.03202959819</v>
      </c>
      <c r="R20" s="147">
        <f>R15*'A1. BASE MODEL INPUTS'!$E$8</f>
        <v>169178.41103853052</v>
      </c>
      <c r="S20" s="147">
        <f>S15*'A1. BASE MODEL INPUTS'!$E$8</f>
        <v>174507.53098624424</v>
      </c>
      <c r="T20" s="147">
        <f>T15*'A1. BASE MODEL INPUTS'!$E$8</f>
        <v>180004.51821231094</v>
      </c>
      <c r="U20" s="147">
        <f>U15*'A1. BASE MODEL INPUTS'!$E$8</f>
        <v>185674.66053599873</v>
      </c>
      <c r="V20" s="147">
        <f>V15*'A1. BASE MODEL INPUTS'!$E$8</f>
        <v>191523.41234288269</v>
      </c>
      <c r="W20" s="147">
        <f>W15*'A1. BASE MODEL INPUTS'!$E$8</f>
        <v>197556.39983168349</v>
      </c>
      <c r="X20" s="147">
        <f>X15*'A1. BASE MODEL INPUTS'!$E$8</f>
        <v>203779.42642638151</v>
      </c>
      <c r="Y20" s="147">
        <f>Y15*'A1. BASE MODEL INPUTS'!$E$8</f>
        <v>210198.47835881254</v>
      </c>
      <c r="Z20" s="147">
        <f>Z15*'A1. BASE MODEL INPUTS'!$E$8</f>
        <v>216819.73042711514</v>
      </c>
      <c r="AA20" s="147">
        <f>AA15*'A1. BASE MODEL INPUTS'!$E$8</f>
        <v>223649.55193556927</v>
      </c>
      <c r="AB20" s="147">
        <f>AB15*'A1. BASE MODEL INPUTS'!$E$8</f>
        <v>230694.51282153968</v>
      </c>
      <c r="AC20" s="147">
        <f>AC15*'A1. BASE MODEL INPUTS'!$E$8</f>
        <v>237961.38997541816</v>
      </c>
      <c r="AD20" s="147">
        <f>AD15*'A1. BASE MODEL INPUTS'!$E$8</f>
        <v>245457.17375964383</v>
      </c>
      <c r="AE20" s="147">
        <f>AE15*'A1. BASE MODEL INPUTS'!$E$8</f>
        <v>253189.0747330726</v>
      </c>
      <c r="AF20" s="147">
        <f>AF15*'A1. BASE MODEL INPUTS'!$E$8</f>
        <v>261164.53058716442</v>
      </c>
      <c r="AG20" s="147">
        <f>AG15*'A1. BASE MODEL INPUTS'!$E$8</f>
        <v>269391.21330066008</v>
      </c>
      <c r="AH20" s="147">
        <f>AH15*'A1. BASE MODEL INPUTS'!$E$8</f>
        <v>277877.03651963087</v>
      </c>
      <c r="AI20" s="147">
        <f>AI15*'A1. BASE MODEL INPUTS'!$E$8</f>
        <v>286630.16316999926</v>
      </c>
      <c r="AJ20" s="147">
        <f>AJ15*'A1. BASE MODEL INPUTS'!$E$8</f>
        <v>295659.01330985426</v>
      </c>
      <c r="AK20" s="147">
        <f>AK15*'A1. BASE MODEL INPUTS'!$E$8</f>
        <v>304972.27222911466</v>
      </c>
    </row>
    <row r="21" spans="1:37" s="5" customFormat="1" ht="14" customHeight="1">
      <c r="A21" s="270" t="s">
        <v>194</v>
      </c>
      <c r="B21" s="136">
        <f>B20*'A1. BASE MODEL INPUTS'!$E$9</f>
        <v>772500</v>
      </c>
      <c r="C21" s="136">
        <f>C20*'A1. BASE MODEL INPUTS'!$E$9</f>
        <v>796833.75</v>
      </c>
      <c r="D21" s="136">
        <f>D20*'A1. BASE MODEL INPUTS'!$E$9</f>
        <v>821934.01312500006</v>
      </c>
      <c r="E21" s="136">
        <f>E20*'A1. BASE MODEL INPUTS'!$E$9</f>
        <v>847824.93453843764</v>
      </c>
      <c r="F21" s="136">
        <f>F20*'A1. BASE MODEL INPUTS'!$E$9</f>
        <v>874531.41997639835</v>
      </c>
      <c r="G21" s="136">
        <f>G20*'A1. BASE MODEL INPUTS'!$E$9</f>
        <v>902079.15970565483</v>
      </c>
      <c r="H21" s="136">
        <f>H20*'A1. BASE MODEL INPUTS'!$E$9</f>
        <v>930494.65323638311</v>
      </c>
      <c r="I21" s="136">
        <f>I20*'A1. BASE MODEL INPUTS'!$E$9</f>
        <v>959805.23481332907</v>
      </c>
      <c r="J21" s="136">
        <f>J20*'A1. BASE MODEL INPUTS'!$E$9</f>
        <v>990039.09970994911</v>
      </c>
      <c r="K21" s="136">
        <f>K20*'A1. BASE MODEL INPUTS'!$E$9</f>
        <v>1021225.3313508125</v>
      </c>
      <c r="L21" s="136">
        <f>L20*'A1. BASE MODEL INPUTS'!$E$9</f>
        <v>1053393.9292883631</v>
      </c>
      <c r="M21" s="136">
        <f>M20*'A1. BASE MODEL INPUTS'!$E$9</f>
        <v>1086575.8380609467</v>
      </c>
      <c r="N21" s="136">
        <f>N20*'A1. BASE MODEL INPUTS'!$E$9</f>
        <v>1120802.9769598665</v>
      </c>
      <c r="O21" s="136">
        <f>O20*'A1. BASE MODEL INPUTS'!$E$9</f>
        <v>1156108.270734102</v>
      </c>
      <c r="P21" s="136">
        <f>P20*'A1. BASE MODEL INPUTS'!$E$9</f>
        <v>1192525.6812622263</v>
      </c>
      <c r="Q21" s="136">
        <f>Q20*'A1. BASE MODEL INPUTS'!$E$9</f>
        <v>1230090.2402219865</v>
      </c>
      <c r="R21" s="136">
        <f>R20*'A1. BASE MODEL INPUTS'!$E$9</f>
        <v>1268838.0827889789</v>
      </c>
      <c r="S21" s="136">
        <f>S20*'A1. BASE MODEL INPUTS'!$E$9</f>
        <v>1308806.4823968317</v>
      </c>
      <c r="T21" s="136">
        <f>T20*'A1. BASE MODEL INPUTS'!$E$9</f>
        <v>1350033.886592332</v>
      </c>
      <c r="U21" s="136">
        <f>U20*'A1. BASE MODEL INPUTS'!$E$9</f>
        <v>1392559.9540199905</v>
      </c>
      <c r="V21" s="136">
        <f>V20*'A1. BASE MODEL INPUTS'!$E$9</f>
        <v>1436425.5925716201</v>
      </c>
      <c r="W21" s="136">
        <f>W20*'A1. BASE MODEL INPUTS'!$E$9</f>
        <v>1481672.9987376262</v>
      </c>
      <c r="X21" s="136">
        <f>X20*'A1. BASE MODEL INPUTS'!$E$9</f>
        <v>1528345.6981978614</v>
      </c>
      <c r="Y21" s="136">
        <f>Y20*'A1. BASE MODEL INPUTS'!$E$9</f>
        <v>1576488.587691094</v>
      </c>
      <c r="Z21" s="136">
        <f>Z20*'A1. BASE MODEL INPUTS'!$E$9</f>
        <v>1626147.9782033635</v>
      </c>
      <c r="AA21" s="136">
        <f>AA20*'A1. BASE MODEL INPUTS'!$E$9</f>
        <v>1677371.6395167694</v>
      </c>
      <c r="AB21" s="136">
        <f>AB20*'A1. BASE MODEL INPUTS'!$E$9</f>
        <v>1730208.8461615476</v>
      </c>
      <c r="AC21" s="136">
        <f>AC20*'A1. BASE MODEL INPUTS'!$E$9</f>
        <v>1784710.4248156361</v>
      </c>
      <c r="AD21" s="136">
        <f>AD20*'A1. BASE MODEL INPUTS'!$E$9</f>
        <v>1840928.8031973287</v>
      </c>
      <c r="AE21" s="136">
        <f>AE20*'A1. BASE MODEL INPUTS'!$E$9</f>
        <v>1898918.0604980446</v>
      </c>
      <c r="AF21" s="136">
        <f>AF20*'A1. BASE MODEL INPUTS'!$E$9</f>
        <v>1958733.9794037333</v>
      </c>
      <c r="AG21" s="136">
        <f>AG20*'A1. BASE MODEL INPUTS'!$E$9</f>
        <v>2020434.0997549505</v>
      </c>
      <c r="AH21" s="136">
        <f>AH20*'A1. BASE MODEL INPUTS'!$E$9</f>
        <v>2084077.7738972316</v>
      </c>
      <c r="AI21" s="136">
        <f>AI20*'A1. BASE MODEL INPUTS'!$E$9</f>
        <v>2149726.2237749943</v>
      </c>
      <c r="AJ21" s="136">
        <f>AJ20*'A1. BASE MODEL INPUTS'!$E$9</f>
        <v>2217442.599823907</v>
      </c>
      <c r="AK21" s="136">
        <f>AK20*'A1. BASE MODEL INPUTS'!$E$9</f>
        <v>2287292.04171836</v>
      </c>
    </row>
    <row r="22" spans="1:37" s="292" customFormat="1" ht="14" customHeight="1">
      <c r="A22" s="290" t="s">
        <v>195</v>
      </c>
      <c r="B22" s="291">
        <f>B21+B19</f>
        <v>847500</v>
      </c>
      <c r="C22" s="291">
        <f t="shared" ref="C22:Y22" si="15">C21+C19</f>
        <v>876401.25</v>
      </c>
      <c r="D22" s="291">
        <f t="shared" si="15"/>
        <v>904007.88937500003</v>
      </c>
      <c r="E22" s="291">
        <f t="shared" si="15"/>
        <v>932484.13789031259</v>
      </c>
      <c r="F22" s="291">
        <f t="shared" si="15"/>
        <v>961857.38823385746</v>
      </c>
      <c r="G22" s="291">
        <f t="shared" si="15"/>
        <v>992155.89596322388</v>
      </c>
      <c r="H22" s="291">
        <f t="shared" si="15"/>
        <v>1023408.8066860656</v>
      </c>
      <c r="I22" s="291">
        <f t="shared" si="15"/>
        <v>1055646.1840966765</v>
      </c>
      <c r="J22" s="291">
        <f t="shared" si="15"/>
        <v>1088899.038895722</v>
      </c>
      <c r="K22" s="291">
        <f t="shared" si="15"/>
        <v>1123199.3586209372</v>
      </c>
      <c r="L22" s="291">
        <f t="shared" si="15"/>
        <v>1158580.1384174968</v>
      </c>
      <c r="M22" s="291">
        <f t="shared" si="15"/>
        <v>1195075.4127776481</v>
      </c>
      <c r="N22" s="291">
        <f t="shared" si="15"/>
        <v>1232720.2882801441</v>
      </c>
      <c r="O22" s="291">
        <f t="shared" si="15"/>
        <v>1271550.9773609682</v>
      </c>
      <c r="P22" s="291">
        <f t="shared" si="15"/>
        <v>1311604.8331478387</v>
      </c>
      <c r="Q22" s="291">
        <f t="shared" si="15"/>
        <v>1352920.3853919958</v>
      </c>
      <c r="R22" s="291">
        <f t="shared" si="15"/>
        <v>1395537.3775318435</v>
      </c>
      <c r="S22" s="291">
        <f t="shared" si="15"/>
        <v>1439496.8049240967</v>
      </c>
      <c r="T22" s="291">
        <f t="shared" si="15"/>
        <v>1484840.9542792058</v>
      </c>
      <c r="U22" s="291">
        <f t="shared" si="15"/>
        <v>1531613.4443390006</v>
      </c>
      <c r="V22" s="291">
        <f t="shared" si="15"/>
        <v>1579859.2678356792</v>
      </c>
      <c r="W22" s="291">
        <f t="shared" si="15"/>
        <v>1629624.834772503</v>
      </c>
      <c r="X22" s="291">
        <f t="shared" si="15"/>
        <v>1680958.0170678371</v>
      </c>
      <c r="Y22" s="291">
        <f t="shared" si="15"/>
        <v>1733908.1946054739</v>
      </c>
      <c r="Z22" s="291">
        <f t="shared" ref="Z22:AK22" si="16">Z21+Z19</f>
        <v>1788526.3027355461</v>
      </c>
      <c r="AA22" s="291">
        <f t="shared" si="16"/>
        <v>1844864.881271716</v>
      </c>
      <c r="AB22" s="291">
        <f t="shared" si="16"/>
        <v>1902978.1250317749</v>
      </c>
      <c r="AC22" s="291">
        <f t="shared" si="16"/>
        <v>1962921.9359702757</v>
      </c>
      <c r="AD22" s="291">
        <f t="shared" si="16"/>
        <v>2024753.9769533393</v>
      </c>
      <c r="AE22" s="291">
        <f t="shared" si="16"/>
        <v>2088533.7272273696</v>
      </c>
      <c r="AF22" s="291">
        <f t="shared" si="16"/>
        <v>2154322.5396350319</v>
      </c>
      <c r="AG22" s="291">
        <f t="shared" si="16"/>
        <v>2222183.699633535</v>
      </c>
      <c r="AH22" s="291">
        <f t="shared" si="16"/>
        <v>2292182.4861719916</v>
      </c>
      <c r="AI22" s="291">
        <f t="shared" si="16"/>
        <v>2364386.234486409</v>
      </c>
      <c r="AJ22" s="291">
        <f t="shared" si="16"/>
        <v>2438864.4008727316</v>
      </c>
      <c r="AK22" s="291">
        <f t="shared" si="16"/>
        <v>2515688.6295002224</v>
      </c>
    </row>
    <row r="23" spans="1:37" s="5" customFormat="1" ht="14" customHeight="1">
      <c r="A23" s="266"/>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row>
    <row r="24" spans="1:37" s="5" customFormat="1" ht="14" customHeight="1">
      <c r="A24" s="294" t="s">
        <v>116</v>
      </c>
      <c r="B24" s="295"/>
      <c r="C24" s="295"/>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row>
    <row r="25" spans="1:37" s="158" customFormat="1" ht="14" customHeight="1">
      <c r="A25" s="543" t="s">
        <v>30</v>
      </c>
      <c r="B25" s="82">
        <f>B15*'A1. BASE MODEL INPUTS'!$B$12</f>
        <v>15450</v>
      </c>
      <c r="C25" s="82">
        <f>C15*'A1. BASE MODEL INPUTS'!$B$12</f>
        <v>15936.674999999999</v>
      </c>
      <c r="D25" s="82">
        <f>D15*'A1. BASE MODEL INPUTS'!$B$12</f>
        <v>16438.680262500002</v>
      </c>
      <c r="E25" s="82">
        <f>E15*'A1. BASE MODEL INPUTS'!$B$12</f>
        <v>16956.498690768753</v>
      </c>
      <c r="F25" s="82">
        <f>F15*'A1. BASE MODEL INPUTS'!$B$12</f>
        <v>17490.628399527966</v>
      </c>
      <c r="G25" s="82">
        <f>G15*'A1. BASE MODEL INPUTS'!$B$12</f>
        <v>18041.583194113096</v>
      </c>
      <c r="H25" s="82">
        <f>H15*'A1. BASE MODEL INPUTS'!$B$12</f>
        <v>18609.893064727661</v>
      </c>
      <c r="I25" s="82">
        <f>I15*'A1. BASE MODEL INPUTS'!$B$12</f>
        <v>19196.104696266582</v>
      </c>
      <c r="J25" s="82">
        <f>J15*'A1. BASE MODEL INPUTS'!$B$12</f>
        <v>19800.781994198984</v>
      </c>
      <c r="K25" s="82">
        <f>K15*'A1. BASE MODEL INPUTS'!$B$12</f>
        <v>20424.50662701625</v>
      </c>
      <c r="L25" s="82">
        <f>L15*'A1. BASE MODEL INPUTS'!$B$12</f>
        <v>21067.878585767263</v>
      </c>
      <c r="M25" s="82">
        <f>M15*'A1. BASE MODEL INPUTS'!$B$12</f>
        <v>21731.516761218936</v>
      </c>
      <c r="N25" s="82">
        <f>N15*'A1. BASE MODEL INPUTS'!$B$12</f>
        <v>22416.059539197329</v>
      </c>
      <c r="O25" s="82">
        <f>O15*'A1. BASE MODEL INPUTS'!$B$12</f>
        <v>23122.16541468204</v>
      </c>
      <c r="P25" s="82">
        <f>P15*'A1. BASE MODEL INPUTS'!$B$12</f>
        <v>23850.513625244523</v>
      </c>
      <c r="Q25" s="82">
        <f>Q15*'A1. BASE MODEL INPUTS'!$B$12</f>
        <v>24601.804804439729</v>
      </c>
      <c r="R25" s="82">
        <f>R15*'A1. BASE MODEL INPUTS'!$B$12</f>
        <v>25376.761655779577</v>
      </c>
      <c r="S25" s="82">
        <f>S15*'A1. BASE MODEL INPUTS'!$B$12</f>
        <v>26176.129647936636</v>
      </c>
      <c r="T25" s="82">
        <f>T15*'A1. BASE MODEL INPUTS'!$B$12</f>
        <v>27000.677731846641</v>
      </c>
      <c r="U25" s="82">
        <f>U15*'A1. BASE MODEL INPUTS'!$B$12</f>
        <v>27851.199080399809</v>
      </c>
      <c r="V25" s="82">
        <f>V15*'A1. BASE MODEL INPUTS'!$B$12</f>
        <v>28728.511851432402</v>
      </c>
      <c r="W25" s="82">
        <f>W15*'A1. BASE MODEL INPUTS'!$B$12</f>
        <v>29633.459974752521</v>
      </c>
      <c r="X25" s="82">
        <f>X15*'A1. BASE MODEL INPUTS'!$B$12</f>
        <v>30566.913963957224</v>
      </c>
      <c r="Y25" s="82">
        <f>Y15*'A1. BASE MODEL INPUTS'!$B$12</f>
        <v>31529.771753821879</v>
      </c>
      <c r="Z25" s="82">
        <f>Z15*'A1. BASE MODEL INPUTS'!$B$12</f>
        <v>32522.959564067271</v>
      </c>
      <c r="AA25" s="82">
        <f>AA15*'A1. BASE MODEL INPUTS'!$B$12</f>
        <v>33547.432790335391</v>
      </c>
      <c r="AB25" s="82">
        <f>AB15*'A1. BASE MODEL INPUTS'!$B$12</f>
        <v>34604.176923230953</v>
      </c>
      <c r="AC25" s="82">
        <f>AC15*'A1. BASE MODEL INPUTS'!$B$12</f>
        <v>35694.20849631272</v>
      </c>
      <c r="AD25" s="82">
        <f>AD15*'A1. BASE MODEL INPUTS'!$B$12</f>
        <v>36818.576063946573</v>
      </c>
      <c r="AE25" s="82">
        <f>AE15*'A1. BASE MODEL INPUTS'!$B$12</f>
        <v>37978.361209960887</v>
      </c>
      <c r="AF25" s="82">
        <f>AF15*'A1. BASE MODEL INPUTS'!$B$12</f>
        <v>39174.679588074665</v>
      </c>
      <c r="AG25" s="82">
        <f>AG15*'A1. BASE MODEL INPUTS'!$B$12</f>
        <v>40408.68199509901</v>
      </c>
      <c r="AH25" s="82">
        <f>AH15*'A1. BASE MODEL INPUTS'!$B$12</f>
        <v>41681.555477944632</v>
      </c>
      <c r="AI25" s="82">
        <f>AI15*'A1. BASE MODEL INPUTS'!$B$12</f>
        <v>42994.524475499886</v>
      </c>
      <c r="AJ25" s="82">
        <f>AJ15*'A1. BASE MODEL INPUTS'!$B$12</f>
        <v>44348.851996478137</v>
      </c>
      <c r="AK25" s="82">
        <f>AK15*'A1. BASE MODEL INPUTS'!$B$12</f>
        <v>45745.840834367198</v>
      </c>
    </row>
    <row r="26" spans="1:37" s="5" customFormat="1" ht="14" customHeight="1">
      <c r="A26" s="544" t="s">
        <v>333</v>
      </c>
      <c r="B26" s="30">
        <f>B25*-'A1. BASE MODEL INPUTS'!$B$15</f>
        <v>-61800</v>
      </c>
      <c r="C26" s="30">
        <f>C25*-'A1. BASE MODEL INPUTS'!$B$15</f>
        <v>-63746.7</v>
      </c>
      <c r="D26" s="30">
        <f>D25*-'A1. BASE MODEL INPUTS'!$B$15</f>
        <v>-65754.721050000007</v>
      </c>
      <c r="E26" s="30">
        <f>E25*-'A1. BASE MODEL INPUTS'!$B$15</f>
        <v>-67825.99476307501</v>
      </c>
      <c r="F26" s="30">
        <f>F25*-'A1. BASE MODEL INPUTS'!$B$15</f>
        <v>-69962.513598111866</v>
      </c>
      <c r="G26" s="30">
        <f>G25*-'A1. BASE MODEL INPUTS'!$B$15</f>
        <v>-72166.332776452386</v>
      </c>
      <c r="H26" s="30">
        <f>H25*-'A1. BASE MODEL INPUTS'!$B$15</f>
        <v>-74439.572258910644</v>
      </c>
      <c r="I26" s="30">
        <f>I25*-'A1. BASE MODEL INPUTS'!$B$15</f>
        <v>-76784.418785066329</v>
      </c>
      <c r="J26" s="30">
        <f>J25*-'A1. BASE MODEL INPUTS'!$B$15</f>
        <v>-79203.127976795935</v>
      </c>
      <c r="K26" s="30">
        <f>K25*-'A1. BASE MODEL INPUTS'!$B$15</f>
        <v>-81698.026508064999</v>
      </c>
      <c r="L26" s="30">
        <f>L25*-'A1. BASE MODEL INPUTS'!$B$15</f>
        <v>-84271.514343069051</v>
      </c>
      <c r="M26" s="30">
        <f>M25*-'A1. BASE MODEL INPUTS'!$B$15</f>
        <v>-86926.067044875745</v>
      </c>
      <c r="N26" s="30">
        <f>N25*-'A1. BASE MODEL INPUTS'!$B$15</f>
        <v>-89664.238156789317</v>
      </c>
      <c r="O26" s="30">
        <f>O25*-'A1. BASE MODEL INPUTS'!$B$15</f>
        <v>-92488.661658728161</v>
      </c>
      <c r="P26" s="30">
        <f>P25*-'A1. BASE MODEL INPUTS'!$B$15</f>
        <v>-95402.054500978091</v>
      </c>
      <c r="Q26" s="30">
        <f>Q25*-'A1. BASE MODEL INPUTS'!$B$15</f>
        <v>-98407.219217758917</v>
      </c>
      <c r="R26" s="30">
        <f>R25*-'A1. BASE MODEL INPUTS'!$B$15</f>
        <v>-101507.04662311831</v>
      </c>
      <c r="S26" s="30">
        <f>S25*-'A1. BASE MODEL INPUTS'!$B$15</f>
        <v>-104704.51859174654</v>
      </c>
      <c r="T26" s="30">
        <f>T25*-'A1. BASE MODEL INPUTS'!$B$15</f>
        <v>-108002.71092738656</v>
      </c>
      <c r="U26" s="30">
        <f>U25*-'A1. BASE MODEL INPUTS'!$B$15</f>
        <v>-111404.79632159923</v>
      </c>
      <c r="V26" s="30">
        <f>V25*-'A1. BASE MODEL INPUTS'!$B$15</f>
        <v>-114914.04740572961</v>
      </c>
      <c r="W26" s="30">
        <f>W25*-'A1. BASE MODEL INPUTS'!$B$15</f>
        <v>-118533.83989901008</v>
      </c>
      <c r="X26" s="30">
        <f>X25*-'A1. BASE MODEL INPUTS'!$B$15</f>
        <v>-122267.6558558289</v>
      </c>
      <c r="Y26" s="30">
        <f>Y25*-'A1. BASE MODEL INPUTS'!$B$15</f>
        <v>-126119.08701528751</v>
      </c>
      <c r="Z26" s="30">
        <f>Z25*-'A1. BASE MODEL INPUTS'!$B$15</f>
        <v>-130091.83825626908</v>
      </c>
      <c r="AA26" s="30">
        <f>AA25*-'A1. BASE MODEL INPUTS'!$B$15</f>
        <v>-134189.73116134157</v>
      </c>
      <c r="AB26" s="30">
        <f>AB25*-'A1. BASE MODEL INPUTS'!$B$15</f>
        <v>-138416.70769292381</v>
      </c>
      <c r="AC26" s="30">
        <f>AC25*-'A1. BASE MODEL INPUTS'!$B$15</f>
        <v>-142776.83398525088</v>
      </c>
      <c r="AD26" s="30">
        <f>AD25*-'A1. BASE MODEL INPUTS'!$B$15</f>
        <v>-147274.30425578629</v>
      </c>
      <c r="AE26" s="30">
        <f>AE25*-'A1. BASE MODEL INPUTS'!$B$15</f>
        <v>-151913.44483984355</v>
      </c>
      <c r="AF26" s="30">
        <f>AF25*-'A1. BASE MODEL INPUTS'!$B$15</f>
        <v>-156698.71835229866</v>
      </c>
      <c r="AG26" s="30">
        <f>AG25*-'A1. BASE MODEL INPUTS'!$B$15</f>
        <v>-161634.72798039604</v>
      </c>
      <c r="AH26" s="30">
        <f>AH25*-'A1. BASE MODEL INPUTS'!$B$15</f>
        <v>-166726.22191177853</v>
      </c>
      <c r="AI26" s="30">
        <f>AI25*-'A1. BASE MODEL INPUTS'!$B$15</f>
        <v>-171978.09790199954</v>
      </c>
      <c r="AJ26" s="30">
        <f>AJ25*-'A1. BASE MODEL INPUTS'!$B$15</f>
        <v>-177395.40798591255</v>
      </c>
      <c r="AK26" s="30">
        <f>AK25*-'A1. BASE MODEL INPUTS'!$B$15</f>
        <v>-182983.36333746879</v>
      </c>
    </row>
    <row r="27" spans="1:37" s="5" customFormat="1" ht="14" customHeight="1">
      <c r="A27" s="270" t="s">
        <v>44</v>
      </c>
      <c r="B27" s="149">
        <f>'A1. BASE MODEL INPUTS'!$E$13*B15</f>
        <v>515</v>
      </c>
      <c r="C27" s="149">
        <f>'A1. BASE MODEL INPUTS'!$E$13*'A2. BASE MODEL'!C15</f>
        <v>531.22249999999997</v>
      </c>
      <c r="D27" s="149">
        <f>'A1. BASE MODEL INPUTS'!$E$13*'A2. BASE MODEL'!D15</f>
        <v>547.95600875000002</v>
      </c>
      <c r="E27" s="149">
        <f>'A1. BASE MODEL INPUTS'!$E$13*'A2. BASE MODEL'!E15</f>
        <v>565.21662302562515</v>
      </c>
      <c r="F27" s="149">
        <f>'A1. BASE MODEL INPUTS'!$E$13*'A2. BASE MODEL'!F15</f>
        <v>583.02094665093227</v>
      </c>
      <c r="G27" s="149">
        <f>'A1. BASE MODEL INPUTS'!$E$13*'A2. BASE MODEL'!G15</f>
        <v>601.38610647043663</v>
      </c>
      <c r="H27" s="149">
        <f>'A1. BASE MODEL INPUTS'!$E$13*'A2. BASE MODEL'!H15</f>
        <v>620.32976882425544</v>
      </c>
      <c r="I27" s="149">
        <f>'A1. BASE MODEL INPUTS'!$E$13*'A2. BASE MODEL'!I15</f>
        <v>639.87015654221943</v>
      </c>
      <c r="J27" s="149">
        <f>'A1. BASE MODEL INPUTS'!$E$13*'A2. BASE MODEL'!J15</f>
        <v>660.02606647329947</v>
      </c>
      <c r="K27" s="149">
        <f>'A1. BASE MODEL INPUTS'!$E$13*'A2. BASE MODEL'!K15</f>
        <v>680.81688756720837</v>
      </c>
      <c r="L27" s="149">
        <f>'A1. BASE MODEL INPUTS'!$E$13*'A2. BASE MODEL'!L15</f>
        <v>702.26261952557547</v>
      </c>
      <c r="M27" s="149">
        <f>'A1. BASE MODEL INPUTS'!$E$13*'A2. BASE MODEL'!M15</f>
        <v>724.38389204063117</v>
      </c>
      <c r="N27" s="149">
        <f>'A1. BASE MODEL INPUTS'!$E$13*'A2. BASE MODEL'!N15</f>
        <v>747.20198463991096</v>
      </c>
      <c r="O27" s="149">
        <f>'A1. BASE MODEL INPUTS'!$E$13*'A2. BASE MODEL'!O15</f>
        <v>770.73884715606812</v>
      </c>
      <c r="P27" s="149">
        <f>'A1. BASE MODEL INPUTS'!$E$13*'A2. BASE MODEL'!P15</f>
        <v>795.01712084148414</v>
      </c>
      <c r="Q27" s="149">
        <f>'A1. BASE MODEL INPUTS'!$E$13*'A2. BASE MODEL'!Q15</f>
        <v>820.06016014799104</v>
      </c>
      <c r="R27" s="149">
        <f>'A1. BASE MODEL INPUTS'!$E$13*'A2. BASE MODEL'!R15</f>
        <v>845.89205519265261</v>
      </c>
      <c r="S27" s="149">
        <f>'A1. BASE MODEL INPUTS'!$E$13*'A2. BASE MODEL'!S15</f>
        <v>872.53765493122125</v>
      </c>
      <c r="T27" s="149">
        <f>'A1. BASE MODEL INPUTS'!$E$13*'A2. BASE MODEL'!T15</f>
        <v>900.02259106155475</v>
      </c>
      <c r="U27" s="149">
        <f>'A1. BASE MODEL INPUTS'!$E$13*'A2. BASE MODEL'!U15</f>
        <v>928.37330267999369</v>
      </c>
      <c r="V27" s="149">
        <f>'A1. BASE MODEL INPUTS'!$E$13*'A2. BASE MODEL'!V15</f>
        <v>957.61706171441347</v>
      </c>
      <c r="W27" s="149">
        <f>'A1. BASE MODEL INPUTS'!$E$13*'A2. BASE MODEL'!W15</f>
        <v>987.78199915841753</v>
      </c>
      <c r="X27" s="149">
        <f>'A1. BASE MODEL INPUTS'!$E$13*'A2. BASE MODEL'!X15</f>
        <v>1018.8971321319076</v>
      </c>
      <c r="Y27" s="149">
        <f>'A1. BASE MODEL INPUTS'!$E$13*'A2. BASE MODEL'!Y15</f>
        <v>1050.9923917940628</v>
      </c>
      <c r="Z27" s="149">
        <f>'A1. BASE MODEL INPUTS'!$E$13*'A2. BASE MODEL'!Z15</f>
        <v>1084.0986521355758</v>
      </c>
      <c r="AA27" s="149">
        <f>'A1. BASE MODEL INPUTS'!$E$13*'A2. BASE MODEL'!AA15</f>
        <v>1118.2477596778463</v>
      </c>
      <c r="AB27" s="149">
        <f>'A1. BASE MODEL INPUTS'!$E$13*'A2. BASE MODEL'!AB15</f>
        <v>1153.4725641076984</v>
      </c>
      <c r="AC27" s="149">
        <f>'A1. BASE MODEL INPUTS'!$E$13*'A2. BASE MODEL'!AC15</f>
        <v>1189.8069498770908</v>
      </c>
      <c r="AD27" s="149">
        <f>'A1. BASE MODEL INPUTS'!$E$13*'A2. BASE MODEL'!AD15</f>
        <v>1227.2858687982191</v>
      </c>
      <c r="AE27" s="149">
        <f>'A1. BASE MODEL INPUTS'!$E$13*'A2. BASE MODEL'!AE15</f>
        <v>1265.9453736653629</v>
      </c>
      <c r="AF27" s="149">
        <f>'A1. BASE MODEL INPUTS'!$E$13*'A2. BASE MODEL'!AF15</f>
        <v>1305.8226529358221</v>
      </c>
      <c r="AG27" s="149">
        <f>'A1. BASE MODEL INPUTS'!$E$13*'A2. BASE MODEL'!AG15</f>
        <v>1346.9560665033005</v>
      </c>
      <c r="AH27" s="149">
        <f>'A1. BASE MODEL INPUTS'!$E$13*'A2. BASE MODEL'!AH15</f>
        <v>1389.3851825981544</v>
      </c>
      <c r="AI27" s="149">
        <f>'A1. BASE MODEL INPUTS'!$E$13*'A2. BASE MODEL'!AI15</f>
        <v>1433.1508158499962</v>
      </c>
      <c r="AJ27" s="149">
        <f>'A1. BASE MODEL INPUTS'!$E$13*'A2. BASE MODEL'!AJ15</f>
        <v>1478.2950665492713</v>
      </c>
      <c r="AK27" s="149">
        <f>'A1. BASE MODEL INPUTS'!$E$13*'A2. BASE MODEL'!AK15</f>
        <v>1524.8613611455733</v>
      </c>
    </row>
    <row r="28" spans="1:37" s="5" customFormat="1" ht="14" customHeight="1">
      <c r="A28" s="270" t="s">
        <v>33</v>
      </c>
      <c r="B28" s="136">
        <f>-B27*'A1. BASE MODEL INPUTS'!$E$14</f>
        <v>-38625</v>
      </c>
      <c r="C28" s="136">
        <f>-C27*'A1. BASE MODEL INPUTS'!$E$14</f>
        <v>-39841.6875</v>
      </c>
      <c r="D28" s="136">
        <f>-D27*'A1. BASE MODEL INPUTS'!$E$14</f>
        <v>-41096.700656250003</v>
      </c>
      <c r="E28" s="136">
        <f>-E27*'A1. BASE MODEL INPUTS'!$E$14</f>
        <v>-42391.246726921883</v>
      </c>
      <c r="F28" s="136">
        <f>-F27*'A1. BASE MODEL INPUTS'!$E$14</f>
        <v>-43726.570998819923</v>
      </c>
      <c r="G28" s="136">
        <f>-G27*'A1. BASE MODEL INPUTS'!$E$14</f>
        <v>-45103.957985282745</v>
      </c>
      <c r="H28" s="136">
        <f>-H27*'A1. BASE MODEL INPUTS'!$E$14</f>
        <v>-46524.732661819158</v>
      </c>
      <c r="I28" s="136">
        <f>-I27*'A1. BASE MODEL INPUTS'!$E$14</f>
        <v>-47990.261740666458</v>
      </c>
      <c r="J28" s="136">
        <f>-J27*'A1. BASE MODEL INPUTS'!$E$14</f>
        <v>-49501.954985497461</v>
      </c>
      <c r="K28" s="136">
        <f>-K27*'A1. BASE MODEL INPUTS'!$E$14</f>
        <v>-51061.266567540624</v>
      </c>
      <c r="L28" s="136">
        <f>-L27*'A1. BASE MODEL INPUTS'!$E$14</f>
        <v>-52669.696464418157</v>
      </c>
      <c r="M28" s="136">
        <f>-M27*'A1. BASE MODEL INPUTS'!$E$14</f>
        <v>-54328.791903047335</v>
      </c>
      <c r="N28" s="136">
        <f>-N27*'A1. BASE MODEL INPUTS'!$E$14</f>
        <v>-56040.148847993325</v>
      </c>
      <c r="O28" s="136">
        <f>-O27*'A1. BASE MODEL INPUTS'!$E$14</f>
        <v>-57805.413536705106</v>
      </c>
      <c r="P28" s="136">
        <f>-P27*'A1. BASE MODEL INPUTS'!$E$14</f>
        <v>-59626.284063111314</v>
      </c>
      <c r="Q28" s="136">
        <f>-Q27*'A1. BASE MODEL INPUTS'!$E$14</f>
        <v>-61504.51201109933</v>
      </c>
      <c r="R28" s="136">
        <f>-R27*'A1. BASE MODEL INPUTS'!$E$14</f>
        <v>-63441.904139448947</v>
      </c>
      <c r="S28" s="136">
        <f>-S27*'A1. BASE MODEL INPUTS'!$E$14</f>
        <v>-65440.324119841593</v>
      </c>
      <c r="T28" s="136">
        <f>-T27*'A1. BASE MODEL INPUTS'!$E$14</f>
        <v>-67501.694329616599</v>
      </c>
      <c r="U28" s="136">
        <f>-U27*'A1. BASE MODEL INPUTS'!$E$14</f>
        <v>-69627.99770099952</v>
      </c>
      <c r="V28" s="136">
        <f>-V27*'A1. BASE MODEL INPUTS'!$E$14</f>
        <v>-71821.279628581004</v>
      </c>
      <c r="W28" s="136">
        <f>-W27*'A1. BASE MODEL INPUTS'!$E$14</f>
        <v>-74083.649936881309</v>
      </c>
      <c r="X28" s="136">
        <f>-X27*'A1. BASE MODEL INPUTS'!$E$14</f>
        <v>-76417.284909893075</v>
      </c>
      <c r="Y28" s="136">
        <f>-Y27*'A1. BASE MODEL INPUTS'!$E$14</f>
        <v>-78824.429384554707</v>
      </c>
      <c r="Z28" s="136">
        <f>-Z27*'A1. BASE MODEL INPUTS'!$E$14</f>
        <v>-81307.39891016818</v>
      </c>
      <c r="AA28" s="136">
        <f>-AA27*'A1. BASE MODEL INPUTS'!$E$14</f>
        <v>-83868.581975838475</v>
      </c>
      <c r="AB28" s="136">
        <f>-AB27*'A1. BASE MODEL INPUTS'!$E$14</f>
        <v>-86510.442308077385</v>
      </c>
      <c r="AC28" s="136">
        <f>-AC27*'A1. BASE MODEL INPUTS'!$E$14</f>
        <v>-89235.521240781803</v>
      </c>
      <c r="AD28" s="136">
        <f>-AD27*'A1. BASE MODEL INPUTS'!$E$14</f>
        <v>-92046.440159866426</v>
      </c>
      <c r="AE28" s="136">
        <f>-AE27*'A1. BASE MODEL INPUTS'!$E$14</f>
        <v>-94945.903024902218</v>
      </c>
      <c r="AF28" s="136">
        <f>-AF27*'A1. BASE MODEL INPUTS'!$E$14</f>
        <v>-97936.698970186655</v>
      </c>
      <c r="AG28" s="136">
        <f>-AG27*'A1. BASE MODEL INPUTS'!$E$14</f>
        <v>-101021.70498774754</v>
      </c>
      <c r="AH28" s="136">
        <f>-AH27*'A1. BASE MODEL INPUTS'!$E$14</f>
        <v>-104203.88869486158</v>
      </c>
      <c r="AI28" s="136">
        <f>-AI27*'A1. BASE MODEL INPUTS'!$E$14</f>
        <v>-107486.31118874972</v>
      </c>
      <c r="AJ28" s="136">
        <f>-AJ27*'A1. BASE MODEL INPUTS'!$E$14</f>
        <v>-110872.12999119534</v>
      </c>
      <c r="AK28" s="136">
        <f>-AK27*'A1. BASE MODEL INPUTS'!$E$14</f>
        <v>-114364.602085918</v>
      </c>
    </row>
    <row r="29" spans="1:37" s="292" customFormat="1" ht="14" customHeight="1">
      <c r="A29" s="290" t="s">
        <v>141</v>
      </c>
      <c r="B29" s="291">
        <f t="shared" ref="B29:AK29" si="17">B26+B28</f>
        <v>-100425</v>
      </c>
      <c r="C29" s="291">
        <f t="shared" si="17"/>
        <v>-103588.3875</v>
      </c>
      <c r="D29" s="291">
        <f t="shared" si="17"/>
        <v>-106851.42170625001</v>
      </c>
      <c r="E29" s="291">
        <f t="shared" si="17"/>
        <v>-110217.2414899969</v>
      </c>
      <c r="F29" s="291">
        <f t="shared" si="17"/>
        <v>-113689.08459693179</v>
      </c>
      <c r="G29" s="291">
        <f t="shared" si="17"/>
        <v>-117270.29076173513</v>
      </c>
      <c r="H29" s="291">
        <f t="shared" si="17"/>
        <v>-120964.3049207298</v>
      </c>
      <c r="I29" s="291">
        <f t="shared" si="17"/>
        <v>-124774.68052573278</v>
      </c>
      <c r="J29" s="291">
        <f t="shared" si="17"/>
        <v>-128705.0829622934</v>
      </c>
      <c r="K29" s="291">
        <f t="shared" si="17"/>
        <v>-132759.29307560562</v>
      </c>
      <c r="L29" s="291">
        <f t="shared" si="17"/>
        <v>-136941.21080748719</v>
      </c>
      <c r="M29" s="291">
        <f t="shared" si="17"/>
        <v>-141254.85894792309</v>
      </c>
      <c r="N29" s="291">
        <f t="shared" si="17"/>
        <v>-145704.38700478265</v>
      </c>
      <c r="O29" s="291">
        <f t="shared" si="17"/>
        <v>-150294.07519543328</v>
      </c>
      <c r="P29" s="291">
        <f t="shared" si="17"/>
        <v>-155028.33856408941</v>
      </c>
      <c r="Q29" s="291">
        <f t="shared" si="17"/>
        <v>-159911.73122885823</v>
      </c>
      <c r="R29" s="291">
        <f t="shared" si="17"/>
        <v>-164948.95076256726</v>
      </c>
      <c r="S29" s="291">
        <f t="shared" si="17"/>
        <v>-170144.84271158813</v>
      </c>
      <c r="T29" s="291">
        <f t="shared" si="17"/>
        <v>-175504.40525700315</v>
      </c>
      <c r="U29" s="291">
        <f t="shared" si="17"/>
        <v>-181032.79402259877</v>
      </c>
      <c r="V29" s="291">
        <f t="shared" si="17"/>
        <v>-186735.32703431061</v>
      </c>
      <c r="W29" s="291">
        <f t="shared" si="17"/>
        <v>-192617.48983589141</v>
      </c>
      <c r="X29" s="291">
        <f t="shared" si="17"/>
        <v>-198684.94076572196</v>
      </c>
      <c r="Y29" s="291">
        <f t="shared" si="17"/>
        <v>-204943.51639984222</v>
      </c>
      <c r="Z29" s="291">
        <f t="shared" si="17"/>
        <v>-211399.23716643726</v>
      </c>
      <c r="AA29" s="291">
        <f t="shared" si="17"/>
        <v>-218058.31313718006</v>
      </c>
      <c r="AB29" s="291">
        <f t="shared" si="17"/>
        <v>-224927.1500010012</v>
      </c>
      <c r="AC29" s="291">
        <f t="shared" si="17"/>
        <v>-232012.35522603267</v>
      </c>
      <c r="AD29" s="291">
        <f t="shared" si="17"/>
        <v>-239320.74441565271</v>
      </c>
      <c r="AE29" s="291">
        <f t="shared" si="17"/>
        <v>-246859.34786474577</v>
      </c>
      <c r="AF29" s="291">
        <f t="shared" si="17"/>
        <v>-254635.4173224853</v>
      </c>
      <c r="AG29" s="291">
        <f t="shared" si="17"/>
        <v>-262656.43296814361</v>
      </c>
      <c r="AH29" s="291">
        <f t="shared" si="17"/>
        <v>-270930.11060664011</v>
      </c>
      <c r="AI29" s="291">
        <f t="shared" si="17"/>
        <v>-279464.40909074928</v>
      </c>
      <c r="AJ29" s="291">
        <f t="shared" si="17"/>
        <v>-288267.53797710792</v>
      </c>
      <c r="AK29" s="291">
        <f t="shared" si="17"/>
        <v>-297347.96542338678</v>
      </c>
    </row>
    <row r="30" spans="1:37" s="5" customFormat="1" ht="14" customHeight="1">
      <c r="A30" s="266"/>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row>
    <row r="31" spans="1:37" s="5" customFormat="1" ht="14" customHeight="1">
      <c r="A31" s="294" t="s">
        <v>174</v>
      </c>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row>
    <row r="32" spans="1:37" s="5" customFormat="1" ht="14" customHeight="1">
      <c r="A32" s="270" t="s">
        <v>130</v>
      </c>
      <c r="B32" s="149">
        <f>'A1. BASE MODEL INPUTS'!$E$12*B15</f>
        <v>515</v>
      </c>
      <c r="C32" s="149">
        <f>'A1. BASE MODEL INPUTS'!$E$12*C15</f>
        <v>531.22249999999997</v>
      </c>
      <c r="D32" s="149">
        <f>'A1. BASE MODEL INPUTS'!$E$12*D15</f>
        <v>547.95600875000002</v>
      </c>
      <c r="E32" s="149">
        <f>'A1. BASE MODEL INPUTS'!$E$12*E15</f>
        <v>565.21662302562515</v>
      </c>
      <c r="F32" s="149">
        <f>'A1. BASE MODEL INPUTS'!$E$12*F15</f>
        <v>583.02094665093227</v>
      </c>
      <c r="G32" s="149">
        <f>'A1. BASE MODEL INPUTS'!$E$12*G15</f>
        <v>601.38610647043663</v>
      </c>
      <c r="H32" s="149">
        <f>'A1. BASE MODEL INPUTS'!$E$12*H15</f>
        <v>620.32976882425544</v>
      </c>
      <c r="I32" s="149">
        <f>'A1. BASE MODEL INPUTS'!$E$12*I15</f>
        <v>639.87015654221943</v>
      </c>
      <c r="J32" s="149">
        <f>'A1. BASE MODEL INPUTS'!$E$12*J15</f>
        <v>660.02606647329947</v>
      </c>
      <c r="K32" s="149">
        <f>'A1. BASE MODEL INPUTS'!$E$12*K15</f>
        <v>680.81688756720837</v>
      </c>
      <c r="L32" s="149">
        <f>'A1. BASE MODEL INPUTS'!$E$12*L15</f>
        <v>702.26261952557547</v>
      </c>
      <c r="M32" s="149">
        <f>'A1. BASE MODEL INPUTS'!$E$12*M15</f>
        <v>724.38389204063117</v>
      </c>
      <c r="N32" s="149">
        <f>'A1. BASE MODEL INPUTS'!$E$12*N15</f>
        <v>747.20198463991096</v>
      </c>
      <c r="O32" s="149">
        <f>'A1. BASE MODEL INPUTS'!$E$12*O15</f>
        <v>770.73884715606812</v>
      </c>
      <c r="P32" s="149">
        <f>'A1. BASE MODEL INPUTS'!$E$12*P15</f>
        <v>795.01712084148414</v>
      </c>
      <c r="Q32" s="149">
        <f>'A1. BASE MODEL INPUTS'!$E$12*Q15</f>
        <v>820.06016014799104</v>
      </c>
      <c r="R32" s="149">
        <f>'A1. BASE MODEL INPUTS'!$E$12*R15</f>
        <v>845.89205519265261</v>
      </c>
      <c r="S32" s="149">
        <f>'A1. BASE MODEL INPUTS'!$E$12*S15</f>
        <v>872.53765493122125</v>
      </c>
      <c r="T32" s="149">
        <f>'A1. BASE MODEL INPUTS'!$E$12*T15</f>
        <v>900.02259106155475</v>
      </c>
      <c r="U32" s="149">
        <f>'A1. BASE MODEL INPUTS'!$E$12*U15</f>
        <v>928.37330267999369</v>
      </c>
      <c r="V32" s="149">
        <f>'A1. BASE MODEL INPUTS'!$E$12*V15</f>
        <v>957.61706171441347</v>
      </c>
      <c r="W32" s="149">
        <f>'A1. BASE MODEL INPUTS'!$E$12*W15</f>
        <v>987.78199915841753</v>
      </c>
      <c r="X32" s="149">
        <f>'A1. BASE MODEL INPUTS'!$E$12*X15</f>
        <v>1018.8971321319076</v>
      </c>
      <c r="Y32" s="149">
        <f>'A1. BASE MODEL INPUTS'!$E$12*Y15</f>
        <v>1050.9923917940628</v>
      </c>
      <c r="Z32" s="149">
        <f>'A1. BASE MODEL INPUTS'!$E$12*Z15</f>
        <v>1084.0986521355758</v>
      </c>
      <c r="AA32" s="149">
        <f>'A1. BASE MODEL INPUTS'!$E$12*AA15</f>
        <v>1118.2477596778463</v>
      </c>
      <c r="AB32" s="149">
        <f>'A1. BASE MODEL INPUTS'!$E$12*AB15</f>
        <v>1153.4725641076984</v>
      </c>
      <c r="AC32" s="149">
        <f>'A1. BASE MODEL INPUTS'!$E$12*AC15</f>
        <v>1189.8069498770908</v>
      </c>
      <c r="AD32" s="149">
        <f>'A1. BASE MODEL INPUTS'!$E$12*AD15</f>
        <v>1227.2858687982191</v>
      </c>
      <c r="AE32" s="149">
        <f>'A1. BASE MODEL INPUTS'!$E$12*AE15</f>
        <v>1265.9453736653629</v>
      </c>
      <c r="AF32" s="149">
        <f>'A1. BASE MODEL INPUTS'!$E$12*AF15</f>
        <v>1305.8226529358221</v>
      </c>
      <c r="AG32" s="149">
        <f>'A1. BASE MODEL INPUTS'!$E$12*AG15</f>
        <v>1346.9560665033005</v>
      </c>
      <c r="AH32" s="149">
        <f>'A1. BASE MODEL INPUTS'!$E$12*AH15</f>
        <v>1389.3851825981544</v>
      </c>
      <c r="AI32" s="149">
        <f>'A1. BASE MODEL INPUTS'!$E$12*AI15</f>
        <v>1433.1508158499962</v>
      </c>
      <c r="AJ32" s="149">
        <f>'A1. BASE MODEL INPUTS'!$E$12*AJ15</f>
        <v>1478.2950665492713</v>
      </c>
      <c r="AK32" s="149">
        <f>'A1. BASE MODEL INPUTS'!$E$12*AK15</f>
        <v>1524.8613611455733</v>
      </c>
    </row>
    <row r="33" spans="1:37" s="292" customFormat="1" ht="14" customHeight="1">
      <c r="A33" s="290" t="s">
        <v>196</v>
      </c>
      <c r="B33" s="291">
        <f>-B32*'A1. BASE MODEL INPUTS'!$E$14</f>
        <v>-38625</v>
      </c>
      <c r="C33" s="291">
        <f>-C32*'A1. BASE MODEL INPUTS'!$E$14</f>
        <v>-39841.6875</v>
      </c>
      <c r="D33" s="291">
        <f>-D32*'A1. BASE MODEL INPUTS'!$E$14</f>
        <v>-41096.700656250003</v>
      </c>
      <c r="E33" s="291">
        <f>-E32*'A1. BASE MODEL INPUTS'!$E$14</f>
        <v>-42391.246726921883</v>
      </c>
      <c r="F33" s="291">
        <f>-F32*'A1. BASE MODEL INPUTS'!$E$14</f>
        <v>-43726.570998819923</v>
      </c>
      <c r="G33" s="291">
        <f>-G32*'A1. BASE MODEL INPUTS'!$E$14</f>
        <v>-45103.957985282745</v>
      </c>
      <c r="H33" s="291">
        <f>-H32*'A1. BASE MODEL INPUTS'!$E$14</f>
        <v>-46524.732661819158</v>
      </c>
      <c r="I33" s="291">
        <f>-I32*'A1. BASE MODEL INPUTS'!$E$14</f>
        <v>-47990.261740666458</v>
      </c>
      <c r="J33" s="291">
        <f>-J32*'A1. BASE MODEL INPUTS'!$E$14</f>
        <v>-49501.954985497461</v>
      </c>
      <c r="K33" s="291">
        <f>-K32*'A1. BASE MODEL INPUTS'!$E$14</f>
        <v>-51061.266567540624</v>
      </c>
      <c r="L33" s="291">
        <f>-L32*'A1. BASE MODEL INPUTS'!$E$14</f>
        <v>-52669.696464418157</v>
      </c>
      <c r="M33" s="291">
        <f>-M32*'A1. BASE MODEL INPUTS'!$E$14</f>
        <v>-54328.791903047335</v>
      </c>
      <c r="N33" s="291">
        <f>-N32*'A1. BASE MODEL INPUTS'!$E$14</f>
        <v>-56040.148847993325</v>
      </c>
      <c r="O33" s="291">
        <f>-O32*'A1. BASE MODEL INPUTS'!$E$14</f>
        <v>-57805.413536705106</v>
      </c>
      <c r="P33" s="291">
        <f>-P32*'A1. BASE MODEL INPUTS'!$E$14</f>
        <v>-59626.284063111314</v>
      </c>
      <c r="Q33" s="291">
        <f>-Q32*'A1. BASE MODEL INPUTS'!$E$14</f>
        <v>-61504.51201109933</v>
      </c>
      <c r="R33" s="291">
        <f>-R32*'A1. BASE MODEL INPUTS'!$E$14</f>
        <v>-63441.904139448947</v>
      </c>
      <c r="S33" s="291">
        <f>-S32*'A1. BASE MODEL INPUTS'!$E$14</f>
        <v>-65440.324119841593</v>
      </c>
      <c r="T33" s="291">
        <f>-T32*'A1. BASE MODEL INPUTS'!$E$14</f>
        <v>-67501.694329616599</v>
      </c>
      <c r="U33" s="291">
        <f>-U32*'A1. BASE MODEL INPUTS'!$E$14</f>
        <v>-69627.99770099952</v>
      </c>
      <c r="V33" s="291">
        <f>-V32*'A1. BASE MODEL INPUTS'!$E$14</f>
        <v>-71821.279628581004</v>
      </c>
      <c r="W33" s="291">
        <f>-W32*'A1. BASE MODEL INPUTS'!$E$14</f>
        <v>-74083.649936881309</v>
      </c>
      <c r="X33" s="291">
        <f>-X32*'A1. BASE MODEL INPUTS'!$E$14</f>
        <v>-76417.284909893075</v>
      </c>
      <c r="Y33" s="291">
        <f>-Y32*'A1. BASE MODEL INPUTS'!$E$14</f>
        <v>-78824.429384554707</v>
      </c>
      <c r="Z33" s="291">
        <f>-Z32*'A1. BASE MODEL INPUTS'!$E$14</f>
        <v>-81307.39891016818</v>
      </c>
      <c r="AA33" s="291">
        <f>-AA32*'A1. BASE MODEL INPUTS'!$E$14</f>
        <v>-83868.581975838475</v>
      </c>
      <c r="AB33" s="291">
        <f>-AB32*'A1. BASE MODEL INPUTS'!$E$14</f>
        <v>-86510.442308077385</v>
      </c>
      <c r="AC33" s="291">
        <f>-AC32*'A1. BASE MODEL INPUTS'!$E$14</f>
        <v>-89235.521240781803</v>
      </c>
      <c r="AD33" s="291">
        <f>-AD32*'A1. BASE MODEL INPUTS'!$E$14</f>
        <v>-92046.440159866426</v>
      </c>
      <c r="AE33" s="291">
        <f>-AE32*'A1. BASE MODEL INPUTS'!$E$14</f>
        <v>-94945.903024902218</v>
      </c>
      <c r="AF33" s="291">
        <f>-AF32*'A1. BASE MODEL INPUTS'!$E$14</f>
        <v>-97936.698970186655</v>
      </c>
      <c r="AG33" s="291">
        <f>-AG32*'A1. BASE MODEL INPUTS'!$E$14</f>
        <v>-101021.70498774754</v>
      </c>
      <c r="AH33" s="291">
        <f>-AH32*'A1. BASE MODEL INPUTS'!$E$14</f>
        <v>-104203.88869486158</v>
      </c>
      <c r="AI33" s="291">
        <f>-AI32*'A1. BASE MODEL INPUTS'!$E$14</f>
        <v>-107486.31118874972</v>
      </c>
      <c r="AJ33" s="291">
        <f>-AJ32*'A1. BASE MODEL INPUTS'!$E$14</f>
        <v>-110872.12999119534</v>
      </c>
      <c r="AK33" s="291">
        <f>-AK32*'A1. BASE MODEL INPUTS'!$E$14</f>
        <v>-114364.602085918</v>
      </c>
    </row>
    <row r="34" spans="1:37" s="5" customFormat="1" ht="14" customHeight="1">
      <c r="A34" s="266"/>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row>
    <row r="35" spans="1:37" s="5" customFormat="1" ht="14" customHeight="1">
      <c r="A35" s="294" t="s">
        <v>181</v>
      </c>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row>
    <row r="36" spans="1:37" s="292" customFormat="1" ht="14" customHeight="1">
      <c r="A36" s="296" t="s">
        <v>197</v>
      </c>
      <c r="B36" s="291">
        <f t="shared" ref="B36:AK36" si="18">B22+B29+B33</f>
        <v>708450</v>
      </c>
      <c r="C36" s="291">
        <f t="shared" si="18"/>
        <v>732971.17500000005</v>
      </c>
      <c r="D36" s="291">
        <f t="shared" si="18"/>
        <v>756059.76701249997</v>
      </c>
      <c r="E36" s="291">
        <f t="shared" si="18"/>
        <v>779875.64967339381</v>
      </c>
      <c r="F36" s="291">
        <f t="shared" si="18"/>
        <v>804441.73263810575</v>
      </c>
      <c r="G36" s="291">
        <f t="shared" si="18"/>
        <v>829781.64721620595</v>
      </c>
      <c r="H36" s="291">
        <f t="shared" si="18"/>
        <v>855919.76910351659</v>
      </c>
      <c r="I36" s="291">
        <f t="shared" si="18"/>
        <v>882881.24183027726</v>
      </c>
      <c r="J36" s="291">
        <f t="shared" si="18"/>
        <v>910692.00094793108</v>
      </c>
      <c r="K36" s="291">
        <f t="shared" si="18"/>
        <v>939378.79897779098</v>
      </c>
      <c r="L36" s="291">
        <f t="shared" si="18"/>
        <v>968969.23114559148</v>
      </c>
      <c r="M36" s="291">
        <f t="shared" si="18"/>
        <v>999491.76192667754</v>
      </c>
      <c r="N36" s="291">
        <f t="shared" si="18"/>
        <v>1030975.7524273681</v>
      </c>
      <c r="O36" s="291">
        <f t="shared" si="18"/>
        <v>1063451.4886288298</v>
      </c>
      <c r="P36" s="291">
        <f t="shared" si="18"/>
        <v>1096950.2105206379</v>
      </c>
      <c r="Q36" s="291">
        <f t="shared" si="18"/>
        <v>1131504.1421520382</v>
      </c>
      <c r="R36" s="291">
        <f t="shared" si="18"/>
        <v>1167146.5226298273</v>
      </c>
      <c r="S36" s="291">
        <f t="shared" si="18"/>
        <v>1203911.6380926669</v>
      </c>
      <c r="T36" s="291">
        <f t="shared" si="18"/>
        <v>1241834.854692586</v>
      </c>
      <c r="U36" s="291">
        <f t="shared" si="18"/>
        <v>1280952.6526154024</v>
      </c>
      <c r="V36" s="291">
        <f t="shared" si="18"/>
        <v>1321302.6611727877</v>
      </c>
      <c r="W36" s="291">
        <f t="shared" si="18"/>
        <v>1362923.6949997302</v>
      </c>
      <c r="X36" s="291">
        <f t="shared" si="18"/>
        <v>1405855.791392222</v>
      </c>
      <c r="Y36" s="291">
        <f t="shared" si="18"/>
        <v>1450140.2488210769</v>
      </c>
      <c r="Z36" s="291">
        <f t="shared" si="18"/>
        <v>1495819.6666589407</v>
      </c>
      <c r="AA36" s="291">
        <f t="shared" si="18"/>
        <v>1542937.9861586976</v>
      </c>
      <c r="AB36" s="291">
        <f t="shared" si="18"/>
        <v>1591540.5327226964</v>
      </c>
      <c r="AC36" s="291">
        <f t="shared" si="18"/>
        <v>1641674.0595034612</v>
      </c>
      <c r="AD36" s="291">
        <f t="shared" si="18"/>
        <v>1693386.7923778202</v>
      </c>
      <c r="AE36" s="291">
        <f t="shared" si="18"/>
        <v>1746728.4763377216</v>
      </c>
      <c r="AF36" s="291">
        <f t="shared" si="18"/>
        <v>1801750.42334236</v>
      </c>
      <c r="AG36" s="291">
        <f t="shared" si="18"/>
        <v>1858505.5616776438</v>
      </c>
      <c r="AH36" s="291">
        <f t="shared" si="18"/>
        <v>1917048.4868704898</v>
      </c>
      <c r="AI36" s="291">
        <f t="shared" si="18"/>
        <v>1977435.51420691</v>
      </c>
      <c r="AJ36" s="291">
        <f t="shared" si="18"/>
        <v>2039724.7329044284</v>
      </c>
      <c r="AK36" s="291">
        <f t="shared" si="18"/>
        <v>2103976.0619909177</v>
      </c>
    </row>
    <row r="37" spans="1:37" s="5" customFormat="1" ht="14" customHeight="1">
      <c r="A37" s="271"/>
      <c r="B37" s="18"/>
    </row>
    <row r="38" spans="1:37" s="5" customFormat="1" ht="14" customHeight="1" thickBot="1">
      <c r="A38" s="307" t="s">
        <v>176</v>
      </c>
      <c r="B38" s="299"/>
      <c r="C38" s="300"/>
      <c r="D38" s="300"/>
      <c r="E38" s="300"/>
      <c r="F38" s="300"/>
      <c r="G38" s="300"/>
      <c r="H38" s="301"/>
      <c r="I38" s="302"/>
      <c r="J38" s="303"/>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304"/>
      <c r="AI38" s="304"/>
      <c r="AJ38" s="304"/>
      <c r="AK38" s="304"/>
    </row>
    <row r="39" spans="1:37" s="5" customFormat="1" ht="14" customHeight="1">
      <c r="A39" s="294" t="s">
        <v>198</v>
      </c>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row>
    <row r="40" spans="1:37" s="5" customFormat="1" ht="14" customHeight="1">
      <c r="A40" s="270" t="s">
        <v>40</v>
      </c>
      <c r="B40" s="16">
        <f>B15*'A1. BASE MODEL INPUTS'!$B$20</f>
        <v>18025</v>
      </c>
      <c r="C40" s="16">
        <f>C15*'A1. BASE MODEL INPUTS'!$B$20</f>
        <v>18592.787499999999</v>
      </c>
      <c r="D40" s="16">
        <f>D15*'A1. BASE MODEL INPUTS'!$B$20</f>
        <v>19178.460306249999</v>
      </c>
      <c r="E40" s="16">
        <f>E15*'A1. BASE MODEL INPUTS'!$B$20</f>
        <v>19782.581805896876</v>
      </c>
      <c r="F40" s="16">
        <f>F15*'A1. BASE MODEL INPUTS'!$B$20</f>
        <v>20405.733132782629</v>
      </c>
      <c r="G40" s="16">
        <f>G15*'A1. BASE MODEL INPUTS'!$B$20</f>
        <v>21048.51372646528</v>
      </c>
      <c r="H40" s="16">
        <f>H15*'A1. BASE MODEL INPUTS'!$B$20</f>
        <v>21711.541908848936</v>
      </c>
      <c r="I40" s="16">
        <f>I15*'A1. BASE MODEL INPUTS'!$B$20</f>
        <v>22395.455478977678</v>
      </c>
      <c r="J40" s="16">
        <f>J15*'A1. BASE MODEL INPUTS'!$B$20</f>
        <v>23100.912326565478</v>
      </c>
      <c r="K40" s="16">
        <f>K15*'A1. BASE MODEL INPUTS'!$B$20</f>
        <v>23828.591064852291</v>
      </c>
      <c r="L40" s="16">
        <f>L15*'A1. BASE MODEL INPUTS'!$B$20</f>
        <v>24579.19168339514</v>
      </c>
      <c r="M40" s="16">
        <f>M15*'A1. BASE MODEL INPUTS'!$B$20</f>
        <v>25353.436221422089</v>
      </c>
      <c r="N40" s="16">
        <f>N15*'A1. BASE MODEL INPUTS'!$B$20</f>
        <v>26152.069462396881</v>
      </c>
      <c r="O40" s="16">
        <f>O15*'A1. BASE MODEL INPUTS'!$B$20</f>
        <v>26975.859650462382</v>
      </c>
      <c r="P40" s="16">
        <f>P15*'A1. BASE MODEL INPUTS'!$B$20</f>
        <v>27825.599229451942</v>
      </c>
      <c r="Q40" s="16">
        <f>Q15*'A1. BASE MODEL INPUTS'!$B$20</f>
        <v>28702.10560517968</v>
      </c>
      <c r="R40" s="16">
        <f>R15*'A1. BASE MODEL INPUTS'!$B$20</f>
        <v>29606.221931742839</v>
      </c>
      <c r="S40" s="16">
        <f>S15*'A1. BASE MODEL INPUTS'!$B$20</f>
        <v>30538.817922592738</v>
      </c>
      <c r="T40" s="16">
        <f>T15*'A1. BASE MODEL INPUTS'!$B$20</f>
        <v>31500.790687154411</v>
      </c>
      <c r="U40" s="16">
        <f>U15*'A1. BASE MODEL INPUTS'!$B$20</f>
        <v>32493.065593799776</v>
      </c>
      <c r="V40" s="16">
        <f>V15*'A1. BASE MODEL INPUTS'!$B$20</f>
        <v>33516.597160004465</v>
      </c>
      <c r="W40" s="16">
        <f>W15*'A1. BASE MODEL INPUTS'!$B$20</f>
        <v>34572.369970544605</v>
      </c>
      <c r="X40" s="16">
        <f>X15*'A1. BASE MODEL INPUTS'!$B$20</f>
        <v>35661.399624616759</v>
      </c>
      <c r="Y40" s="16">
        <f>Y15*'A1. BASE MODEL INPUTS'!$B$20</f>
        <v>36784.733712792193</v>
      </c>
      <c r="Z40" s="16">
        <f>Z15*'A1. BASE MODEL INPUTS'!$B$20</f>
        <v>37943.452824745145</v>
      </c>
      <c r="AA40" s="16">
        <f>AA15*'A1. BASE MODEL INPUTS'!$B$20</f>
        <v>39138.671588724617</v>
      </c>
      <c r="AB40" s="16">
        <f>AB15*'A1. BASE MODEL INPUTS'!$B$20</f>
        <v>40371.539743769441</v>
      </c>
      <c r="AC40" s="16">
        <f>AC15*'A1. BASE MODEL INPUTS'!$B$20</f>
        <v>41643.243245698177</v>
      </c>
      <c r="AD40" s="16">
        <f>AD15*'A1. BASE MODEL INPUTS'!$B$20</f>
        <v>42955.005407937671</v>
      </c>
      <c r="AE40" s="16">
        <f>AE15*'A1. BASE MODEL INPUTS'!$B$20</f>
        <v>44308.088078287699</v>
      </c>
      <c r="AF40" s="16">
        <f>AF15*'A1. BASE MODEL INPUTS'!$B$20</f>
        <v>45703.792852753773</v>
      </c>
      <c r="AG40" s="16">
        <f>AG15*'A1. BASE MODEL INPUTS'!$B$20</f>
        <v>47143.462327615511</v>
      </c>
      <c r="AH40" s="16">
        <f>AH15*'A1. BASE MODEL INPUTS'!$B$20</f>
        <v>48628.481390935398</v>
      </c>
      <c r="AI40" s="16">
        <f>AI15*'A1. BASE MODEL INPUTS'!$B$20</f>
        <v>50160.278554749864</v>
      </c>
      <c r="AJ40" s="16">
        <f>AJ15*'A1. BASE MODEL INPUTS'!$B$20</f>
        <v>51740.327329224492</v>
      </c>
      <c r="AK40" s="16">
        <f>AK15*'A1. BASE MODEL INPUTS'!$B$20</f>
        <v>53370.147640095063</v>
      </c>
    </row>
    <row r="41" spans="1:37" s="5" customFormat="1" ht="14" customHeight="1">
      <c r="A41" s="270" t="s">
        <v>41</v>
      </c>
      <c r="B41" s="17">
        <f>B40*'A1. BASE MODEL INPUTS'!$B$21</f>
        <v>5407.5</v>
      </c>
      <c r="C41" s="17">
        <f>C40*'A1. BASE MODEL INPUTS'!$B$21</f>
        <v>5577.8362499999994</v>
      </c>
      <c r="D41" s="17">
        <f>D40*'A1. BASE MODEL INPUTS'!$B$21</f>
        <v>5753.5380918749997</v>
      </c>
      <c r="E41" s="17">
        <f>E40*'A1. BASE MODEL INPUTS'!$B$21</f>
        <v>5934.774541769063</v>
      </c>
      <c r="F41" s="17">
        <f>F40*'A1. BASE MODEL INPUTS'!$B$21</f>
        <v>6121.7199398347884</v>
      </c>
      <c r="G41" s="17">
        <f>G40*'A1. BASE MODEL INPUTS'!$B$21</f>
        <v>6314.5541179395841</v>
      </c>
      <c r="H41" s="17">
        <f>H40*'A1. BASE MODEL INPUTS'!$B$21</f>
        <v>6513.462572654681</v>
      </c>
      <c r="I41" s="17">
        <f>I40*'A1. BASE MODEL INPUTS'!$B$21</f>
        <v>6718.6366436933031</v>
      </c>
      <c r="J41" s="17">
        <f>J40*'A1. BASE MODEL INPUTS'!$B$21</f>
        <v>6930.2736979696429</v>
      </c>
      <c r="K41" s="17">
        <f>K40*'A1. BASE MODEL INPUTS'!$B$21</f>
        <v>7148.5773194556868</v>
      </c>
      <c r="L41" s="17">
        <f>L40*'A1. BASE MODEL INPUTS'!$B$21</f>
        <v>7373.7575050185415</v>
      </c>
      <c r="M41" s="17">
        <f>M40*'A1. BASE MODEL INPUTS'!$B$21</f>
        <v>7606.0308664266267</v>
      </c>
      <c r="N41" s="17">
        <f>N40*'A1. BASE MODEL INPUTS'!$B$21</f>
        <v>7845.6208387190636</v>
      </c>
      <c r="O41" s="17">
        <f>O40*'A1. BASE MODEL INPUTS'!$B$21</f>
        <v>8092.757895138714</v>
      </c>
      <c r="P41" s="17">
        <f>P40*'A1. BASE MODEL INPUTS'!$B$21</f>
        <v>8347.6797688355819</v>
      </c>
      <c r="Q41" s="17">
        <f>Q40*'A1. BASE MODEL INPUTS'!$B$21</f>
        <v>8610.631681553903</v>
      </c>
      <c r="R41" s="17">
        <f>R40*'A1. BASE MODEL INPUTS'!$B$21</f>
        <v>8881.8665795228517</v>
      </c>
      <c r="S41" s="17">
        <f>S40*'A1. BASE MODEL INPUTS'!$B$21</f>
        <v>9161.6453767778203</v>
      </c>
      <c r="T41" s="17">
        <f>T40*'A1. BASE MODEL INPUTS'!$B$21</f>
        <v>9450.2372061463229</v>
      </c>
      <c r="U41" s="17">
        <f>U40*'A1. BASE MODEL INPUTS'!$B$21</f>
        <v>9747.9196781399332</v>
      </c>
      <c r="V41" s="17">
        <f>V40*'A1. BASE MODEL INPUTS'!$B$21</f>
        <v>10054.979148001339</v>
      </c>
      <c r="W41" s="17">
        <f>W40*'A1. BASE MODEL INPUTS'!$B$21</f>
        <v>10371.710991163382</v>
      </c>
      <c r="X41" s="17">
        <f>X40*'A1. BASE MODEL INPUTS'!$B$21</f>
        <v>10698.419887385027</v>
      </c>
      <c r="Y41" s="17">
        <f>Y40*'A1. BASE MODEL INPUTS'!$B$21</f>
        <v>11035.420113837657</v>
      </c>
      <c r="Z41" s="17">
        <f>Z40*'A1. BASE MODEL INPUTS'!$B$21</f>
        <v>11383.035847423544</v>
      </c>
      <c r="AA41" s="17">
        <f>AA40*'A1. BASE MODEL INPUTS'!$B$21</f>
        <v>11741.601476617385</v>
      </c>
      <c r="AB41" s="17">
        <f>AB40*'A1. BASE MODEL INPUTS'!$B$21</f>
        <v>12111.461923130832</v>
      </c>
      <c r="AC41" s="17">
        <f>AC40*'A1. BASE MODEL INPUTS'!$B$21</f>
        <v>12492.972973709453</v>
      </c>
      <c r="AD41" s="17">
        <f>AD40*'A1. BASE MODEL INPUTS'!$B$21</f>
        <v>12886.501622381302</v>
      </c>
      <c r="AE41" s="17">
        <f>AE40*'A1. BASE MODEL INPUTS'!$B$21</f>
        <v>13292.426423486309</v>
      </c>
      <c r="AF41" s="17">
        <f>AF40*'A1. BASE MODEL INPUTS'!$B$21</f>
        <v>13711.137855826131</v>
      </c>
      <c r="AG41" s="17">
        <f>AG40*'A1. BASE MODEL INPUTS'!$B$21</f>
        <v>14143.038698284652</v>
      </c>
      <c r="AH41" s="17">
        <f>AH40*'A1. BASE MODEL INPUTS'!$B$21</f>
        <v>14588.544417280618</v>
      </c>
      <c r="AI41" s="17">
        <f>AI40*'A1. BASE MODEL INPUTS'!$B$21</f>
        <v>15048.083566424959</v>
      </c>
      <c r="AJ41" s="17">
        <f>AJ40*'A1. BASE MODEL INPUTS'!$B$21</f>
        <v>15522.098198767348</v>
      </c>
      <c r="AK41" s="17">
        <f>AK40*'A1. BASE MODEL INPUTS'!$B$21</f>
        <v>16011.044292028519</v>
      </c>
    </row>
    <row r="42" spans="1:37" s="5" customFormat="1" ht="14" customHeight="1">
      <c r="A42" s="270" t="s">
        <v>43</v>
      </c>
      <c r="B42" s="34">
        <f>B41/'A1. BASE MODEL INPUTS'!$B$22</f>
        <v>10.815</v>
      </c>
      <c r="C42" s="34">
        <f>C41/'A1. BASE MODEL INPUTS'!$B$22</f>
        <v>11.155672499999998</v>
      </c>
      <c r="D42" s="34">
        <f>D41/'A1. BASE MODEL INPUTS'!$B$22</f>
        <v>11.50707618375</v>
      </c>
      <c r="E42" s="34">
        <f>E41/'A1. BASE MODEL INPUTS'!$B$22</f>
        <v>11.869549083538127</v>
      </c>
      <c r="F42" s="34">
        <f>F41/'A1. BASE MODEL INPUTS'!$B$22</f>
        <v>12.243439879669577</v>
      </c>
      <c r="G42" s="34">
        <f>G41/'A1. BASE MODEL INPUTS'!$B$22</f>
        <v>12.629108235879169</v>
      </c>
      <c r="H42" s="34">
        <f>H41/'A1. BASE MODEL INPUTS'!$B$22</f>
        <v>13.026925145309361</v>
      </c>
      <c r="I42" s="34">
        <f>I41/'A1. BASE MODEL INPUTS'!$B$22</f>
        <v>13.437273287386606</v>
      </c>
      <c r="J42" s="34">
        <f>J41/'A1. BASE MODEL INPUTS'!$B$22</f>
        <v>13.860547395939285</v>
      </c>
      <c r="K42" s="34">
        <f>K41/'A1. BASE MODEL INPUTS'!$B$22</f>
        <v>14.297154638911374</v>
      </c>
      <c r="L42" s="34">
        <f>L41/'A1. BASE MODEL INPUTS'!$B$22</f>
        <v>14.747515010037082</v>
      </c>
      <c r="M42" s="34">
        <f>M41/'A1. BASE MODEL INPUTS'!$B$22</f>
        <v>15.212061732853254</v>
      </c>
      <c r="N42" s="34">
        <f>N41/'A1. BASE MODEL INPUTS'!$B$22</f>
        <v>15.691241677438127</v>
      </c>
      <c r="O42" s="34">
        <f>O41/'A1. BASE MODEL INPUTS'!$B$22</f>
        <v>16.185515790277428</v>
      </c>
      <c r="P42" s="34">
        <f>P41/'A1. BASE MODEL INPUTS'!$B$22</f>
        <v>16.695359537671163</v>
      </c>
      <c r="Q42" s="34">
        <f>Q41/'A1. BASE MODEL INPUTS'!$B$22</f>
        <v>17.221263363107806</v>
      </c>
      <c r="R42" s="34">
        <f>R41/'A1. BASE MODEL INPUTS'!$B$22</f>
        <v>17.763733159045703</v>
      </c>
      <c r="S42" s="34">
        <f>S41/'A1. BASE MODEL INPUTS'!$B$22</f>
        <v>18.323290753555639</v>
      </c>
      <c r="T42" s="34">
        <f>T41/'A1. BASE MODEL INPUTS'!$B$22</f>
        <v>18.900474412292645</v>
      </c>
      <c r="U42" s="34">
        <f>U41/'A1. BASE MODEL INPUTS'!$B$22</f>
        <v>19.495839356279866</v>
      </c>
      <c r="V42" s="34">
        <f>V41/'A1. BASE MODEL INPUTS'!$B$22</f>
        <v>20.109958296002677</v>
      </c>
      <c r="W42" s="34">
        <f>W41/'A1. BASE MODEL INPUTS'!$B$22</f>
        <v>20.743421982326762</v>
      </c>
      <c r="X42" s="34">
        <f>X41/'A1. BASE MODEL INPUTS'!$B$22</f>
        <v>21.396839774770054</v>
      </c>
      <c r="Y42" s="34">
        <f>Y41/'A1. BASE MODEL INPUTS'!$B$22</f>
        <v>22.070840227675316</v>
      </c>
      <c r="Z42" s="34">
        <f>Z41/'A1. BASE MODEL INPUTS'!$B$22</f>
        <v>22.766071694847088</v>
      </c>
      <c r="AA42" s="34">
        <f>AA41/'A1. BASE MODEL INPUTS'!$B$22</f>
        <v>23.48320295323477</v>
      </c>
      <c r="AB42" s="34">
        <f>AB41/'A1. BASE MODEL INPUTS'!$B$22</f>
        <v>24.222923846261661</v>
      </c>
      <c r="AC42" s="34">
        <f>AC41/'A1. BASE MODEL INPUTS'!$B$22</f>
        <v>24.985945947418905</v>
      </c>
      <c r="AD42" s="34">
        <f>AD41/'A1. BASE MODEL INPUTS'!$B$22</f>
        <v>25.773003244762602</v>
      </c>
      <c r="AE42" s="34">
        <f>AE41/'A1. BASE MODEL INPUTS'!$B$22</f>
        <v>26.58485284697262</v>
      </c>
      <c r="AF42" s="34">
        <f>AF41/'A1. BASE MODEL INPUTS'!$B$22</f>
        <v>27.422275711652262</v>
      </c>
      <c r="AG42" s="34">
        <f>AG41/'A1. BASE MODEL INPUTS'!$B$22</f>
        <v>28.286077396569304</v>
      </c>
      <c r="AH42" s="34">
        <f>AH41/'A1. BASE MODEL INPUTS'!$B$22</f>
        <v>29.177088834561236</v>
      </c>
      <c r="AI42" s="34">
        <f>AI41/'A1. BASE MODEL INPUTS'!$B$22</f>
        <v>30.096167132849917</v>
      </c>
      <c r="AJ42" s="34">
        <f>AJ41/'A1. BASE MODEL INPUTS'!$B$22</f>
        <v>31.044196397534694</v>
      </c>
      <c r="AK42" s="34">
        <f>AK41/'A1. BASE MODEL INPUTS'!$B$22</f>
        <v>32.022088584057038</v>
      </c>
    </row>
    <row r="43" spans="1:37" s="292" customFormat="1" ht="14" customHeight="1">
      <c r="A43" s="305" t="s">
        <v>42</v>
      </c>
      <c r="B43" s="306">
        <f>-B42*'A1. BASE MODEL INPUTS'!$B$23</f>
        <v>-4866.75</v>
      </c>
      <c r="C43" s="306">
        <f>-C42*'A1. BASE MODEL INPUTS'!$B$23</f>
        <v>-5020.0526249999994</v>
      </c>
      <c r="D43" s="306">
        <f>-D42*'A1. BASE MODEL INPUTS'!$B$23</f>
        <v>-5178.1842826874999</v>
      </c>
      <c r="E43" s="306">
        <f>-E42*'A1. BASE MODEL INPUTS'!$B$23</f>
        <v>-5341.2970875921574</v>
      </c>
      <c r="F43" s="306">
        <f>-F42*'A1. BASE MODEL INPUTS'!$B$23</f>
        <v>-5509.5479458513091</v>
      </c>
      <c r="G43" s="306">
        <f>-G42*'A1. BASE MODEL INPUTS'!$B$23</f>
        <v>-5683.0987061456262</v>
      </c>
      <c r="H43" s="306">
        <f>-H42*'A1. BASE MODEL INPUTS'!$B$23</f>
        <v>-5862.116315389213</v>
      </c>
      <c r="I43" s="306">
        <f>-I42*'A1. BASE MODEL INPUTS'!$B$23</f>
        <v>-6046.7729793239732</v>
      </c>
      <c r="J43" s="306">
        <f>-J42*'A1. BASE MODEL INPUTS'!$B$23</f>
        <v>-6237.2463281726787</v>
      </c>
      <c r="K43" s="306">
        <f>-K42*'A1. BASE MODEL INPUTS'!$B$23</f>
        <v>-6433.7195875101188</v>
      </c>
      <c r="L43" s="306">
        <f>-L42*'A1. BASE MODEL INPUTS'!$B$23</f>
        <v>-6636.3817545166867</v>
      </c>
      <c r="M43" s="306">
        <f>-M42*'A1. BASE MODEL INPUTS'!$B$23</f>
        <v>-6845.4277797839641</v>
      </c>
      <c r="N43" s="306">
        <f>-N42*'A1. BASE MODEL INPUTS'!$B$23</f>
        <v>-7061.0587548471567</v>
      </c>
      <c r="O43" s="306">
        <f>-O42*'A1. BASE MODEL INPUTS'!$B$23</f>
        <v>-7283.4821056248429</v>
      </c>
      <c r="P43" s="306">
        <f>-P42*'A1. BASE MODEL INPUTS'!$B$23</f>
        <v>-7512.9117919520231</v>
      </c>
      <c r="Q43" s="306">
        <f>-Q42*'A1. BASE MODEL INPUTS'!$B$23</f>
        <v>-7749.5685133985126</v>
      </c>
      <c r="R43" s="306">
        <f>-R42*'A1. BASE MODEL INPUTS'!$B$23</f>
        <v>-7993.679921570566</v>
      </c>
      <c r="S43" s="306">
        <f>-S42*'A1. BASE MODEL INPUTS'!$B$23</f>
        <v>-8245.480839100037</v>
      </c>
      <c r="T43" s="306">
        <f>-T42*'A1. BASE MODEL INPUTS'!$B$23</f>
        <v>-8505.2134855316908</v>
      </c>
      <c r="U43" s="306">
        <f>-U42*'A1. BASE MODEL INPUTS'!$B$23</f>
        <v>-8773.1277103259399</v>
      </c>
      <c r="V43" s="306">
        <f>-V42*'A1. BASE MODEL INPUTS'!$B$23</f>
        <v>-9049.4812332012043</v>
      </c>
      <c r="W43" s="306">
        <f>-W42*'A1. BASE MODEL INPUTS'!$B$23</f>
        <v>-9334.5398920470434</v>
      </c>
      <c r="X43" s="306">
        <f>-X42*'A1. BASE MODEL INPUTS'!$B$23</f>
        <v>-9628.5778986465248</v>
      </c>
      <c r="Y43" s="306">
        <f>-Y42*'A1. BASE MODEL INPUTS'!$B$23</f>
        <v>-9931.8781024538912</v>
      </c>
      <c r="Z43" s="306">
        <f>-Z42*'A1. BASE MODEL INPUTS'!$B$23</f>
        <v>-10244.732262681189</v>
      </c>
      <c r="AA43" s="306">
        <f>-AA42*'A1. BASE MODEL INPUTS'!$B$23</f>
        <v>-10567.441328955647</v>
      </c>
      <c r="AB43" s="306">
        <f>-AB42*'A1. BASE MODEL INPUTS'!$B$23</f>
        <v>-10900.315730817747</v>
      </c>
      <c r="AC43" s="306">
        <f>-AC42*'A1. BASE MODEL INPUTS'!$B$23</f>
        <v>-11243.675676338507</v>
      </c>
      <c r="AD43" s="306">
        <f>-AD42*'A1. BASE MODEL INPUTS'!$B$23</f>
        <v>-11597.851460143171</v>
      </c>
      <c r="AE43" s="306">
        <f>-AE42*'A1. BASE MODEL INPUTS'!$B$23</f>
        <v>-11963.183781137679</v>
      </c>
      <c r="AF43" s="306">
        <f>-AF42*'A1. BASE MODEL INPUTS'!$B$23</f>
        <v>-12340.024070243519</v>
      </c>
      <c r="AG43" s="306">
        <f>-AG42*'A1. BASE MODEL INPUTS'!$B$23</f>
        <v>-12728.734828456187</v>
      </c>
      <c r="AH43" s="306">
        <f>-AH42*'A1. BASE MODEL INPUTS'!$B$23</f>
        <v>-13129.689975552556</v>
      </c>
      <c r="AI43" s="306">
        <f>-AI42*'A1. BASE MODEL INPUTS'!$B$23</f>
        <v>-13543.275209782463</v>
      </c>
      <c r="AJ43" s="306">
        <f>-AJ42*'A1. BASE MODEL INPUTS'!$B$23</f>
        <v>-13969.888378890613</v>
      </c>
      <c r="AK43" s="306">
        <f>-AK42*'A1. BASE MODEL INPUTS'!$B$23</f>
        <v>-14409.939862825668</v>
      </c>
    </row>
    <row r="44" spans="1:37" s="5" customFormat="1" ht="14" customHeight="1">
      <c r="A44" s="272"/>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row>
    <row r="45" spans="1:37" s="5" customFormat="1" ht="14" customHeight="1">
      <c r="A45" s="294" t="s">
        <v>177</v>
      </c>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row>
    <row r="46" spans="1:37" s="5" customFormat="1" ht="14" customHeight="1">
      <c r="A46" s="543" t="s">
        <v>30</v>
      </c>
      <c r="B46" s="33">
        <f>B25</f>
        <v>15450</v>
      </c>
      <c r="C46" s="33">
        <f t="shared" ref="C46:AK46" si="19">C25</f>
        <v>15936.674999999999</v>
      </c>
      <c r="D46" s="33">
        <f t="shared" si="19"/>
        <v>16438.680262500002</v>
      </c>
      <c r="E46" s="33">
        <f t="shared" si="19"/>
        <v>16956.498690768753</v>
      </c>
      <c r="F46" s="33">
        <f t="shared" si="19"/>
        <v>17490.628399527966</v>
      </c>
      <c r="G46" s="33">
        <f t="shared" si="19"/>
        <v>18041.583194113096</v>
      </c>
      <c r="H46" s="33">
        <f t="shared" si="19"/>
        <v>18609.893064727661</v>
      </c>
      <c r="I46" s="33">
        <f t="shared" si="19"/>
        <v>19196.104696266582</v>
      </c>
      <c r="J46" s="33">
        <f t="shared" si="19"/>
        <v>19800.781994198984</v>
      </c>
      <c r="K46" s="33">
        <f t="shared" si="19"/>
        <v>20424.50662701625</v>
      </c>
      <c r="L46" s="33">
        <f t="shared" si="19"/>
        <v>21067.878585767263</v>
      </c>
      <c r="M46" s="33">
        <f t="shared" si="19"/>
        <v>21731.516761218936</v>
      </c>
      <c r="N46" s="33">
        <f t="shared" si="19"/>
        <v>22416.059539197329</v>
      </c>
      <c r="O46" s="33">
        <f t="shared" si="19"/>
        <v>23122.16541468204</v>
      </c>
      <c r="P46" s="33">
        <f t="shared" si="19"/>
        <v>23850.513625244523</v>
      </c>
      <c r="Q46" s="33">
        <f t="shared" si="19"/>
        <v>24601.804804439729</v>
      </c>
      <c r="R46" s="33">
        <f t="shared" si="19"/>
        <v>25376.761655779577</v>
      </c>
      <c r="S46" s="33">
        <f t="shared" si="19"/>
        <v>26176.129647936636</v>
      </c>
      <c r="T46" s="33">
        <f t="shared" si="19"/>
        <v>27000.677731846641</v>
      </c>
      <c r="U46" s="33">
        <f t="shared" si="19"/>
        <v>27851.199080399809</v>
      </c>
      <c r="V46" s="33">
        <f t="shared" si="19"/>
        <v>28728.511851432402</v>
      </c>
      <c r="W46" s="33">
        <f t="shared" si="19"/>
        <v>29633.459974752521</v>
      </c>
      <c r="X46" s="33">
        <f t="shared" si="19"/>
        <v>30566.913963957224</v>
      </c>
      <c r="Y46" s="33">
        <f t="shared" si="19"/>
        <v>31529.771753821879</v>
      </c>
      <c r="Z46" s="33">
        <f t="shared" si="19"/>
        <v>32522.959564067271</v>
      </c>
      <c r="AA46" s="33">
        <f t="shared" si="19"/>
        <v>33547.432790335391</v>
      </c>
      <c r="AB46" s="33">
        <f t="shared" si="19"/>
        <v>34604.176923230953</v>
      </c>
      <c r="AC46" s="33">
        <f t="shared" si="19"/>
        <v>35694.20849631272</v>
      </c>
      <c r="AD46" s="33">
        <f t="shared" si="19"/>
        <v>36818.576063946573</v>
      </c>
      <c r="AE46" s="33">
        <f t="shared" si="19"/>
        <v>37978.361209960887</v>
      </c>
      <c r="AF46" s="33">
        <f t="shared" si="19"/>
        <v>39174.679588074665</v>
      </c>
      <c r="AG46" s="33">
        <f t="shared" si="19"/>
        <v>40408.68199509901</v>
      </c>
      <c r="AH46" s="33">
        <f t="shared" si="19"/>
        <v>41681.555477944632</v>
      </c>
      <c r="AI46" s="33">
        <f t="shared" si="19"/>
        <v>42994.524475499886</v>
      </c>
      <c r="AJ46" s="33">
        <f t="shared" si="19"/>
        <v>44348.851996478137</v>
      </c>
      <c r="AK46" s="33">
        <f t="shared" si="19"/>
        <v>45745.840834367198</v>
      </c>
    </row>
    <row r="47" spans="1:37" s="292" customFormat="1" ht="14" customHeight="1">
      <c r="A47" s="556" t="s">
        <v>45</v>
      </c>
      <c r="B47" s="306">
        <f>-B46*'A1. BASE MODEL INPUTS'!$B$14*'A1. BASE MODEL INPUTS'!$E$20</f>
        <v>-8497.5</v>
      </c>
      <c r="C47" s="306">
        <f>-C46*'A1. BASE MODEL INPUTS'!$B$14*'A1. BASE MODEL INPUTS'!$E$20</f>
        <v>-8765.1712499999994</v>
      </c>
      <c r="D47" s="306">
        <f>-D46*'A1. BASE MODEL INPUTS'!$B$14*'A1. BASE MODEL INPUTS'!$E$20</f>
        <v>-9041.2741443750019</v>
      </c>
      <c r="E47" s="306">
        <f>-E46*'A1. BASE MODEL INPUTS'!$B$14*'A1. BASE MODEL INPUTS'!$E$20</f>
        <v>-9326.0742799228155</v>
      </c>
      <c r="F47" s="306">
        <f>-F46*'A1. BASE MODEL INPUTS'!$B$14*'A1. BASE MODEL INPUTS'!$E$20</f>
        <v>-9619.8456197403812</v>
      </c>
      <c r="G47" s="306">
        <f>-G46*'A1. BASE MODEL INPUTS'!$B$14*'A1. BASE MODEL INPUTS'!$E$20</f>
        <v>-9922.8707567622041</v>
      </c>
      <c r="H47" s="306">
        <f>-H46*'A1. BASE MODEL INPUTS'!$B$14*'A1. BASE MODEL INPUTS'!$E$20</f>
        <v>-10235.441185600213</v>
      </c>
      <c r="I47" s="306">
        <f>-I46*'A1. BASE MODEL INPUTS'!$B$14*'A1. BASE MODEL INPUTS'!$E$20</f>
        <v>-10557.857582946621</v>
      </c>
      <c r="J47" s="306">
        <f>-J46*'A1. BASE MODEL INPUTS'!$B$14*'A1. BASE MODEL INPUTS'!$E$20</f>
        <v>-10890.430096809441</v>
      </c>
      <c r="K47" s="306">
        <f>-K46*'A1. BASE MODEL INPUTS'!$B$14*'A1. BASE MODEL INPUTS'!$E$20</f>
        <v>-11233.478644858938</v>
      </c>
      <c r="L47" s="306">
        <f>-L46*'A1. BASE MODEL INPUTS'!$B$14*'A1. BASE MODEL INPUTS'!$E$20</f>
        <v>-11587.333222171996</v>
      </c>
      <c r="M47" s="306">
        <f>-M46*'A1. BASE MODEL INPUTS'!$B$14*'A1. BASE MODEL INPUTS'!$E$20</f>
        <v>-11952.334218670416</v>
      </c>
      <c r="N47" s="306">
        <f>-N46*'A1. BASE MODEL INPUTS'!$B$14*'A1. BASE MODEL INPUTS'!$E$20</f>
        <v>-12328.832746558532</v>
      </c>
      <c r="O47" s="306">
        <f>-O46*'A1. BASE MODEL INPUTS'!$B$14*'A1. BASE MODEL INPUTS'!$E$20</f>
        <v>-12717.190978075123</v>
      </c>
      <c r="P47" s="306">
        <f>-P46*'A1. BASE MODEL INPUTS'!$B$14*'A1. BASE MODEL INPUTS'!$E$20</f>
        <v>-13117.78249388449</v>
      </c>
      <c r="Q47" s="306">
        <f>-Q46*'A1. BASE MODEL INPUTS'!$B$14*'A1. BASE MODEL INPUTS'!$E$20</f>
        <v>-13530.992642441852</v>
      </c>
      <c r="R47" s="306">
        <f>-R46*'A1. BASE MODEL INPUTS'!$B$14*'A1. BASE MODEL INPUTS'!$E$20</f>
        <v>-13957.218910678768</v>
      </c>
      <c r="S47" s="306">
        <f>-S46*'A1. BASE MODEL INPUTS'!$B$14*'A1. BASE MODEL INPUTS'!$E$20</f>
        <v>-14396.87130636515</v>
      </c>
      <c r="T47" s="306">
        <f>-T46*'A1. BASE MODEL INPUTS'!$B$14*'A1. BASE MODEL INPUTS'!$E$20</f>
        <v>-14850.372752515652</v>
      </c>
      <c r="U47" s="306">
        <f>-U46*'A1. BASE MODEL INPUTS'!$B$14*'A1. BASE MODEL INPUTS'!$E$20</f>
        <v>-15318.159494219895</v>
      </c>
      <c r="V47" s="306">
        <f>-V46*'A1. BASE MODEL INPUTS'!$B$14*'A1. BASE MODEL INPUTS'!$E$20</f>
        <v>-15800.68151828782</v>
      </c>
      <c r="W47" s="306">
        <f>-W46*'A1. BASE MODEL INPUTS'!$B$14*'A1. BASE MODEL INPUTS'!$E$20</f>
        <v>-16298.402986113888</v>
      </c>
      <c r="X47" s="306">
        <f>-X46*'A1. BASE MODEL INPUTS'!$B$14*'A1. BASE MODEL INPUTS'!$E$20</f>
        <v>-16811.802680176475</v>
      </c>
      <c r="Y47" s="306">
        <f>-Y46*'A1. BASE MODEL INPUTS'!$B$14*'A1. BASE MODEL INPUTS'!$E$20</f>
        <v>-17341.374464602031</v>
      </c>
      <c r="Z47" s="306">
        <f>-Z46*'A1. BASE MODEL INPUTS'!$B$14*'A1. BASE MODEL INPUTS'!$E$20</f>
        <v>-17887.627760236999</v>
      </c>
      <c r="AA47" s="306">
        <f>-AA46*'A1. BASE MODEL INPUTS'!$B$14*'A1. BASE MODEL INPUTS'!$E$20</f>
        <v>-18451.088034684464</v>
      </c>
      <c r="AB47" s="306">
        <f>-AB46*'A1. BASE MODEL INPUTS'!$B$14*'A1. BASE MODEL INPUTS'!$E$20</f>
        <v>-19032.297307777026</v>
      </c>
      <c r="AC47" s="306">
        <f>-AC46*'A1. BASE MODEL INPUTS'!$B$14*'A1. BASE MODEL INPUTS'!$E$20</f>
        <v>-19631.814672971999</v>
      </c>
      <c r="AD47" s="306">
        <f>-AD46*'A1. BASE MODEL INPUTS'!$B$14*'A1. BASE MODEL INPUTS'!$E$20</f>
        <v>-20250.216835170617</v>
      </c>
      <c r="AE47" s="306">
        <f>-AE46*'A1. BASE MODEL INPUTS'!$B$14*'A1. BASE MODEL INPUTS'!$E$20</f>
        <v>-20888.09866547849</v>
      </c>
      <c r="AF47" s="306">
        <f>-AF46*'A1. BASE MODEL INPUTS'!$B$14*'A1. BASE MODEL INPUTS'!$E$20</f>
        <v>-21546.073773441065</v>
      </c>
      <c r="AG47" s="306">
        <f>-AG46*'A1. BASE MODEL INPUTS'!$B$14*'A1. BASE MODEL INPUTS'!$E$20</f>
        <v>-22224.775097304457</v>
      </c>
      <c r="AH47" s="306">
        <f>-AH46*'A1. BASE MODEL INPUTS'!$B$14*'A1. BASE MODEL INPUTS'!$E$20</f>
        <v>-22924.855512869548</v>
      </c>
      <c r="AI47" s="306">
        <f>-AI46*'A1. BASE MODEL INPUTS'!$B$14*'A1. BASE MODEL INPUTS'!$E$20</f>
        <v>-23646.988461524939</v>
      </c>
      <c r="AJ47" s="306">
        <f>-AJ46*'A1. BASE MODEL INPUTS'!$B$14*'A1. BASE MODEL INPUTS'!$E$20</f>
        <v>-24391.868598062978</v>
      </c>
      <c r="AK47" s="306">
        <f>-AK46*'A1. BASE MODEL INPUTS'!$B$14*'A1. BASE MODEL INPUTS'!$E$20</f>
        <v>-25160.212458901962</v>
      </c>
    </row>
    <row r="48" spans="1:37" s="5" customFormat="1" ht="14" customHeight="1">
      <c r="A48" s="274"/>
      <c r="B48" s="405"/>
      <c r="C48" s="41"/>
      <c r="D48" s="41"/>
      <c r="E48" s="41"/>
      <c r="F48" s="41"/>
      <c r="G48" s="41"/>
      <c r="H48" s="41"/>
    </row>
    <row r="49" spans="1:37" s="5" customFormat="1" ht="14" customHeight="1">
      <c r="A49" s="294" t="s">
        <v>158</v>
      </c>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row>
    <row r="50" spans="1:37" s="5" customFormat="1" ht="14" customHeight="1">
      <c r="A50" s="275" t="s">
        <v>199</v>
      </c>
      <c r="B50" s="33">
        <f>B20*(1-'A1. BASE MODEL INPUTS'!$B$12)</f>
        <v>72100</v>
      </c>
      <c r="C50" s="33">
        <f>C20*(1-'A1. BASE MODEL INPUTS'!$B$12)</f>
        <v>74371.149999999994</v>
      </c>
      <c r="D50" s="33">
        <f>D20*(1-'A1. BASE MODEL INPUTS'!$B$12)</f>
        <v>76713.841224999996</v>
      </c>
      <c r="E50" s="33">
        <f>E20*(1-'A1. BASE MODEL INPUTS'!$B$12)</f>
        <v>79130.327223587505</v>
      </c>
      <c r="F50" s="33">
        <f>F20*(1-'A1. BASE MODEL INPUTS'!$B$12)</f>
        <v>81622.932531130515</v>
      </c>
      <c r="G50" s="33">
        <f>G20*(1-'A1. BASE MODEL INPUTS'!$B$12)</f>
        <v>84194.054905861121</v>
      </c>
      <c r="H50" s="33">
        <f>H20*(1-'A1. BASE MODEL INPUTS'!$B$12)</f>
        <v>86846.167635395745</v>
      </c>
      <c r="I50" s="33">
        <f>I20*(1-'A1. BASE MODEL INPUTS'!$B$12)</f>
        <v>89581.82191591071</v>
      </c>
      <c r="J50" s="33">
        <f>J20*(1-'A1. BASE MODEL INPUTS'!$B$12)</f>
        <v>92403.649306261912</v>
      </c>
      <c r="K50" s="33">
        <f>K20*(1-'A1. BASE MODEL INPUTS'!$B$12)</f>
        <v>95314.364259409165</v>
      </c>
      <c r="L50" s="33">
        <f>L20*(1-'A1. BASE MODEL INPUTS'!$B$12)</f>
        <v>98316.76673358056</v>
      </c>
      <c r="M50" s="33">
        <f>M20*(1-'A1. BASE MODEL INPUTS'!$B$12)</f>
        <v>101413.74488568836</v>
      </c>
      <c r="N50" s="33">
        <f>N20*(1-'A1. BASE MODEL INPUTS'!$B$12)</f>
        <v>104608.27784958752</v>
      </c>
      <c r="O50" s="33">
        <f>O20*(1-'A1. BASE MODEL INPUTS'!$B$12)</f>
        <v>107903.43860184953</v>
      </c>
      <c r="P50" s="33">
        <f>P20*(1-'A1. BASE MODEL INPUTS'!$B$12)</f>
        <v>111302.39691780777</v>
      </c>
      <c r="Q50" s="33">
        <f>Q20*(1-'A1. BASE MODEL INPUTS'!$B$12)</f>
        <v>114808.42242071872</v>
      </c>
      <c r="R50" s="33">
        <f>R20*(1-'A1. BASE MODEL INPUTS'!$B$12)</f>
        <v>118424.88772697136</v>
      </c>
      <c r="S50" s="33">
        <f>S20*(1-'A1. BASE MODEL INPUTS'!$B$12)</f>
        <v>122155.27169037095</v>
      </c>
      <c r="T50" s="33">
        <f>T20*(1-'A1. BASE MODEL INPUTS'!$B$12)</f>
        <v>126003.16274861764</v>
      </c>
      <c r="U50" s="33">
        <f>U20*(1-'A1. BASE MODEL INPUTS'!$B$12)</f>
        <v>129972.26237519911</v>
      </c>
      <c r="V50" s="33">
        <f>V20*(1-'A1. BASE MODEL INPUTS'!$B$12)</f>
        <v>134066.38864001786</v>
      </c>
      <c r="W50" s="33">
        <f>W20*(1-'A1. BASE MODEL INPUTS'!$B$12)</f>
        <v>138289.47988217842</v>
      </c>
      <c r="X50" s="33">
        <f>X20*(1-'A1. BASE MODEL INPUTS'!$B$12)</f>
        <v>142645.59849846704</v>
      </c>
      <c r="Y50" s="33">
        <f>Y20*(1-'A1. BASE MODEL INPUTS'!$B$12)</f>
        <v>147138.93485116877</v>
      </c>
      <c r="Z50" s="33">
        <f>Z20*(1-'A1. BASE MODEL INPUTS'!$B$12)</f>
        <v>151773.81129898058</v>
      </c>
      <c r="AA50" s="33">
        <f>AA20*(1-'A1. BASE MODEL INPUTS'!$B$12)</f>
        <v>156554.68635489847</v>
      </c>
      <c r="AB50" s="33">
        <f>AB20*(1-'A1. BASE MODEL INPUTS'!$B$12)</f>
        <v>161486.15897507776</v>
      </c>
      <c r="AC50" s="33">
        <f>AC20*(1-'A1. BASE MODEL INPUTS'!$B$12)</f>
        <v>166572.97298279271</v>
      </c>
      <c r="AD50" s="33">
        <f>AD20*(1-'A1. BASE MODEL INPUTS'!$B$12)</f>
        <v>171820.02163175069</v>
      </c>
      <c r="AE50" s="33">
        <f>AE20*(1-'A1. BASE MODEL INPUTS'!$B$12)</f>
        <v>177232.3523131508</v>
      </c>
      <c r="AF50" s="33">
        <f>AF20*(1-'A1. BASE MODEL INPUTS'!$B$12)</f>
        <v>182815.17141101509</v>
      </c>
      <c r="AG50" s="33">
        <f>AG20*(1-'A1. BASE MODEL INPUTS'!$B$12)</f>
        <v>188573.84931046204</v>
      </c>
      <c r="AH50" s="33">
        <f>AH20*(1-'A1. BASE MODEL INPUTS'!$B$12)</f>
        <v>194513.92556374159</v>
      </c>
      <c r="AI50" s="33">
        <f>AI20*(1-'A1. BASE MODEL INPUTS'!$B$12)</f>
        <v>200641.11421899946</v>
      </c>
      <c r="AJ50" s="33">
        <f>AJ20*(1-'A1. BASE MODEL INPUTS'!$B$12)</f>
        <v>206961.30931689797</v>
      </c>
      <c r="AK50" s="33">
        <f>AK20*(1-'A1. BASE MODEL INPUTS'!$B$12)</f>
        <v>213480.59056038025</v>
      </c>
    </row>
    <row r="51" spans="1:37" s="5" customFormat="1" ht="13" customHeight="1">
      <c r="A51" s="275" t="s">
        <v>203</v>
      </c>
      <c r="B51" s="33">
        <f>B50*'A1. BASE MODEL INPUTS'!$E$9</f>
        <v>540750</v>
      </c>
      <c r="C51" s="33">
        <f>C50*'A1. BASE MODEL INPUTS'!$E$9</f>
        <v>557783.625</v>
      </c>
      <c r="D51" s="33">
        <f>D50*'A1. BASE MODEL INPUTS'!$E$9</f>
        <v>575353.80918749992</v>
      </c>
      <c r="E51" s="33">
        <f>E50*'A1. BASE MODEL INPUTS'!$E$9</f>
        <v>593477.45417690626</v>
      </c>
      <c r="F51" s="33">
        <f>F50*'A1. BASE MODEL INPUTS'!$E$9</f>
        <v>612171.99398347887</v>
      </c>
      <c r="G51" s="33">
        <f>G50*'A1. BASE MODEL INPUTS'!$E$9</f>
        <v>631455.4117939584</v>
      </c>
      <c r="H51" s="33">
        <f>H50*'A1. BASE MODEL INPUTS'!$E$9</f>
        <v>651346.25726546813</v>
      </c>
      <c r="I51" s="33">
        <f>I50*'A1. BASE MODEL INPUTS'!$E$9</f>
        <v>671863.66436933028</v>
      </c>
      <c r="J51" s="33">
        <f>J50*'A1. BASE MODEL INPUTS'!$E$9</f>
        <v>693027.36979696434</v>
      </c>
      <c r="K51" s="33">
        <f>K50*'A1. BASE MODEL INPUTS'!$E$9</f>
        <v>714857.7319455687</v>
      </c>
      <c r="L51" s="33">
        <f>L50*'A1. BASE MODEL INPUTS'!$E$9</f>
        <v>737375.75050185423</v>
      </c>
      <c r="M51" s="33">
        <f>M50*'A1. BASE MODEL INPUTS'!$E$9</f>
        <v>760603.08664266265</v>
      </c>
      <c r="N51" s="33">
        <f>N50*'A1. BASE MODEL INPUTS'!$E$9</f>
        <v>784562.08387190639</v>
      </c>
      <c r="O51" s="33">
        <f>O50*'A1. BASE MODEL INPUTS'!$E$9</f>
        <v>809275.78951387142</v>
      </c>
      <c r="P51" s="33">
        <f>P50*'A1. BASE MODEL INPUTS'!$E$9</f>
        <v>834767.97688355821</v>
      </c>
      <c r="Q51" s="33">
        <f>Q50*'A1. BASE MODEL INPUTS'!$E$9</f>
        <v>861063.16815539042</v>
      </c>
      <c r="R51" s="33">
        <f>R50*'A1. BASE MODEL INPUTS'!$E$9</f>
        <v>888186.65795228514</v>
      </c>
      <c r="S51" s="33">
        <f>S50*'A1. BASE MODEL INPUTS'!$E$9</f>
        <v>916164.53767778212</v>
      </c>
      <c r="T51" s="33">
        <f>T50*'A1. BASE MODEL INPUTS'!$E$9</f>
        <v>945023.72061463236</v>
      </c>
      <c r="U51" s="33">
        <f>U50*'A1. BASE MODEL INPUTS'!$E$9</f>
        <v>974791.96781399334</v>
      </c>
      <c r="V51" s="33">
        <f>V50*'A1. BASE MODEL INPUTS'!$E$9</f>
        <v>1005497.9148001339</v>
      </c>
      <c r="W51" s="33">
        <f>W50*'A1. BASE MODEL INPUTS'!$E$9</f>
        <v>1037171.0991163382</v>
      </c>
      <c r="X51" s="33">
        <f>X50*'A1. BASE MODEL INPUTS'!$E$9</f>
        <v>1069841.9887385028</v>
      </c>
      <c r="Y51" s="33">
        <f>Y50*'A1. BASE MODEL INPUTS'!$E$9</f>
        <v>1103542.0113837658</v>
      </c>
      <c r="Z51" s="33">
        <f>Z50*'A1. BASE MODEL INPUTS'!$E$9</f>
        <v>1138303.5847423545</v>
      </c>
      <c r="AA51" s="33">
        <f>AA50*'A1. BASE MODEL INPUTS'!$E$9</f>
        <v>1174160.1476617386</v>
      </c>
      <c r="AB51" s="33">
        <f>AB50*'A1. BASE MODEL INPUTS'!$E$9</f>
        <v>1211146.1923130832</v>
      </c>
      <c r="AC51" s="33">
        <f>AC50*'A1. BASE MODEL INPUTS'!$E$9</f>
        <v>1249297.2973709453</v>
      </c>
      <c r="AD51" s="33">
        <f>AD50*'A1. BASE MODEL INPUTS'!$E$9</f>
        <v>1288650.1622381301</v>
      </c>
      <c r="AE51" s="33">
        <f>AE50*'A1. BASE MODEL INPUTS'!$E$9</f>
        <v>1329242.6423486311</v>
      </c>
      <c r="AF51" s="33">
        <f>AF50*'A1. BASE MODEL INPUTS'!$E$9</f>
        <v>1371113.7855826132</v>
      </c>
      <c r="AG51" s="33">
        <f>AG50*'A1. BASE MODEL INPUTS'!$E$9</f>
        <v>1414303.8698284654</v>
      </c>
      <c r="AH51" s="33">
        <f>AH50*'A1. BASE MODEL INPUTS'!$E$9</f>
        <v>1458854.441728062</v>
      </c>
      <c r="AI51" s="33">
        <f>AI50*'A1. BASE MODEL INPUTS'!$E$9</f>
        <v>1504808.3566424958</v>
      </c>
      <c r="AJ51" s="33">
        <f>AJ50*'A1. BASE MODEL INPUTS'!$E$9</f>
        <v>1552209.8198767349</v>
      </c>
      <c r="AK51" s="33">
        <f>AK50*'A1. BASE MODEL INPUTS'!$E$9</f>
        <v>1601104.4292028518</v>
      </c>
    </row>
    <row r="52" spans="1:37" s="5" customFormat="1" ht="14" customHeight="1">
      <c r="A52" s="275" t="s">
        <v>113</v>
      </c>
      <c r="B52" s="33">
        <f>-B51*'A1. BASE MODEL INPUTS'!$E$21</f>
        <v>-8111.25</v>
      </c>
      <c r="C52" s="33">
        <f>-C51*'A1. BASE MODEL INPUTS'!$E$21</f>
        <v>-8366.7543750000004</v>
      </c>
      <c r="D52" s="33">
        <f>-D51*'A1. BASE MODEL INPUTS'!$E$21</f>
        <v>-8630.3071378124987</v>
      </c>
      <c r="E52" s="33">
        <f>-E51*'A1. BASE MODEL INPUTS'!$E$21</f>
        <v>-8902.1618126535941</v>
      </c>
      <c r="F52" s="33">
        <f>-F51*'A1. BASE MODEL INPUTS'!$E$21</f>
        <v>-9182.5799097521831</v>
      </c>
      <c r="G52" s="33">
        <f>-G51*'A1. BASE MODEL INPUTS'!$E$21</f>
        <v>-9471.8311769093762</v>
      </c>
      <c r="H52" s="33">
        <f>-H51*'A1. BASE MODEL INPUTS'!$E$21</f>
        <v>-9770.193858982022</v>
      </c>
      <c r="I52" s="33">
        <f>-I51*'A1. BASE MODEL INPUTS'!$E$21</f>
        <v>-10077.954965539953</v>
      </c>
      <c r="J52" s="33">
        <f>-J51*'A1. BASE MODEL INPUTS'!$E$21</f>
        <v>-10395.410546954465</v>
      </c>
      <c r="K52" s="33">
        <f>-K51*'A1. BASE MODEL INPUTS'!$E$21</f>
        <v>-10722.865979183531</v>
      </c>
      <c r="L52" s="33">
        <f>-L51*'A1. BASE MODEL INPUTS'!$E$21</f>
        <v>-11060.636257527813</v>
      </c>
      <c r="M52" s="33">
        <f>-M51*'A1. BASE MODEL INPUTS'!$E$21</f>
        <v>-11409.04629963994</v>
      </c>
      <c r="N52" s="33">
        <f>-N51*'A1. BASE MODEL INPUTS'!$E$21</f>
        <v>-11768.431258078595</v>
      </c>
      <c r="O52" s="33">
        <f>-O51*'A1. BASE MODEL INPUTS'!$E$21</f>
        <v>-12139.136842708071</v>
      </c>
      <c r="P52" s="33">
        <f>-P51*'A1. BASE MODEL INPUTS'!$E$21</f>
        <v>-12521.519653253372</v>
      </c>
      <c r="Q52" s="33">
        <f>-Q51*'A1. BASE MODEL INPUTS'!$E$21</f>
        <v>-12915.947522330856</v>
      </c>
      <c r="R52" s="33">
        <f>-R51*'A1. BASE MODEL INPUTS'!$E$21</f>
        <v>-13322.799869284276</v>
      </c>
      <c r="S52" s="33">
        <f>-S51*'A1. BASE MODEL INPUTS'!$E$21</f>
        <v>-13742.468065166731</v>
      </c>
      <c r="T52" s="33">
        <f>-T51*'A1. BASE MODEL INPUTS'!$E$21</f>
        <v>-14175.355809219485</v>
      </c>
      <c r="U52" s="33">
        <f>-U51*'A1. BASE MODEL INPUTS'!$E$21</f>
        <v>-14621.8795172099</v>
      </c>
      <c r="V52" s="33">
        <f>-V51*'A1. BASE MODEL INPUTS'!$E$21</f>
        <v>-15082.468722002008</v>
      </c>
      <c r="W52" s="33">
        <f>-W51*'A1. BASE MODEL INPUTS'!$E$21</f>
        <v>-15557.566486745072</v>
      </c>
      <c r="X52" s="33">
        <f>-X51*'A1. BASE MODEL INPUTS'!$E$21</f>
        <v>-16047.629831077542</v>
      </c>
      <c r="Y52" s="33">
        <f>-Y51*'A1. BASE MODEL INPUTS'!$E$21</f>
        <v>-16553.130170756485</v>
      </c>
      <c r="Z52" s="33">
        <f>-Z51*'A1. BASE MODEL INPUTS'!$E$21</f>
        <v>-17074.553771135317</v>
      </c>
      <c r="AA52" s="33">
        <f>-AA51*'A1. BASE MODEL INPUTS'!$E$21</f>
        <v>-17612.402214926078</v>
      </c>
      <c r="AB52" s="33">
        <f>-AB51*'A1. BASE MODEL INPUTS'!$E$21</f>
        <v>-18167.192884696247</v>
      </c>
      <c r="AC52" s="33">
        <f>-AC51*'A1. BASE MODEL INPUTS'!$E$21</f>
        <v>-18739.45946056418</v>
      </c>
      <c r="AD52" s="33">
        <f>-AD51*'A1. BASE MODEL INPUTS'!$E$21</f>
        <v>-19329.75243357195</v>
      </c>
      <c r="AE52" s="33">
        <f>-AE51*'A1. BASE MODEL INPUTS'!$E$21</f>
        <v>-19938.639635229465</v>
      </c>
      <c r="AF52" s="33">
        <f>-AF51*'A1. BASE MODEL INPUTS'!$E$21</f>
        <v>-20566.706783739199</v>
      </c>
      <c r="AG52" s="33">
        <f>-AG51*'A1. BASE MODEL INPUTS'!$E$21</f>
        <v>-21214.558047426981</v>
      </c>
      <c r="AH52" s="33">
        <f>-AH51*'A1. BASE MODEL INPUTS'!$E$21</f>
        <v>-21882.816625920928</v>
      </c>
      <c r="AI52" s="33">
        <f>-AI51*'A1. BASE MODEL INPUTS'!$E$21</f>
        <v>-22572.125349637437</v>
      </c>
      <c r="AJ52" s="33">
        <f>-AJ51*'A1. BASE MODEL INPUTS'!$E$21</f>
        <v>-23283.147298151023</v>
      </c>
      <c r="AK52" s="33">
        <f>-AK51*'A1. BASE MODEL INPUTS'!$E$21</f>
        <v>-24016.566438042777</v>
      </c>
    </row>
    <row r="53" spans="1:37" s="5" customFormat="1" ht="14" customHeight="1">
      <c r="A53" s="275"/>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row>
    <row r="54" spans="1:37" s="5" customFormat="1" ht="14" customHeight="1">
      <c r="A54" s="294" t="s">
        <v>178</v>
      </c>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row>
    <row r="55" spans="1:37" s="292" customFormat="1" ht="14" customHeight="1">
      <c r="A55" s="290" t="s">
        <v>200</v>
      </c>
      <c r="B55" s="291">
        <f>B43+B47+B52</f>
        <v>-21475.5</v>
      </c>
      <c r="C55" s="291">
        <f t="shared" ref="C55:AK55" si="20">C43+C47+C52</f>
        <v>-22151.97825</v>
      </c>
      <c r="D55" s="291">
        <f t="shared" si="20"/>
        <v>-22849.765564875001</v>
      </c>
      <c r="E55" s="291">
        <f t="shared" si="20"/>
        <v>-23569.533180168568</v>
      </c>
      <c r="F55" s="291">
        <f t="shared" si="20"/>
        <v>-24311.973475343875</v>
      </c>
      <c r="G55" s="291">
        <f t="shared" si="20"/>
        <v>-25077.800639817207</v>
      </c>
      <c r="H55" s="291">
        <f t="shared" si="20"/>
        <v>-25867.751359971451</v>
      </c>
      <c r="I55" s="291">
        <f t="shared" si="20"/>
        <v>-26682.585527810548</v>
      </c>
      <c r="J55" s="291">
        <f t="shared" si="20"/>
        <v>-27523.086971936587</v>
      </c>
      <c r="K55" s="291">
        <f t="shared" si="20"/>
        <v>-28390.064211552588</v>
      </c>
      <c r="L55" s="291">
        <f t="shared" si="20"/>
        <v>-29284.351234216498</v>
      </c>
      <c r="M55" s="291">
        <f t="shared" si="20"/>
        <v>-30206.808298094318</v>
      </c>
      <c r="N55" s="291">
        <f t="shared" si="20"/>
        <v>-31158.322759484283</v>
      </c>
      <c r="O55" s="291">
        <f t="shared" si="20"/>
        <v>-32139.809926408037</v>
      </c>
      <c r="P55" s="291">
        <f t="shared" si="20"/>
        <v>-33152.213939089888</v>
      </c>
      <c r="Q55" s="291">
        <f t="shared" si="20"/>
        <v>-34196.508678171223</v>
      </c>
      <c r="R55" s="291">
        <f t="shared" si="20"/>
        <v>-35273.698701533613</v>
      </c>
      <c r="S55" s="291">
        <f t="shared" si="20"/>
        <v>-36384.820210631915</v>
      </c>
      <c r="T55" s="291">
        <f t="shared" si="20"/>
        <v>-37530.942047266828</v>
      </c>
      <c r="U55" s="291">
        <f t="shared" si="20"/>
        <v>-38713.166721755733</v>
      </c>
      <c r="V55" s="291">
        <f t="shared" si="20"/>
        <v>-39932.631473491034</v>
      </c>
      <c r="W55" s="291">
        <f t="shared" si="20"/>
        <v>-41190.509364906</v>
      </c>
      <c r="X55" s="291">
        <f t="shared" si="20"/>
        <v>-42488.01040990054</v>
      </c>
      <c r="Y55" s="291">
        <f t="shared" si="20"/>
        <v>-43826.382737812412</v>
      </c>
      <c r="Z55" s="291">
        <f t="shared" si="20"/>
        <v>-45206.913794053507</v>
      </c>
      <c r="AA55" s="291">
        <f t="shared" si="20"/>
        <v>-46630.931578566189</v>
      </c>
      <c r="AB55" s="291">
        <f t="shared" si="20"/>
        <v>-48099.805923291016</v>
      </c>
      <c r="AC55" s="291">
        <f t="shared" si="20"/>
        <v>-49614.949809874684</v>
      </c>
      <c r="AD55" s="291">
        <f t="shared" si="20"/>
        <v>-51177.820728885737</v>
      </c>
      <c r="AE55" s="291">
        <f t="shared" si="20"/>
        <v>-52789.922081845638</v>
      </c>
      <c r="AF55" s="291">
        <f t="shared" si="20"/>
        <v>-54452.804627423786</v>
      </c>
      <c r="AG55" s="291">
        <f t="shared" si="20"/>
        <v>-56168.067973187623</v>
      </c>
      <c r="AH55" s="291">
        <f t="shared" si="20"/>
        <v>-57937.362114343036</v>
      </c>
      <c r="AI55" s="291">
        <f t="shared" si="20"/>
        <v>-59762.389020944844</v>
      </c>
      <c r="AJ55" s="291">
        <f t="shared" si="20"/>
        <v>-61644.904275104614</v>
      </c>
      <c r="AK55" s="291">
        <f t="shared" si="20"/>
        <v>-63586.718759770403</v>
      </c>
    </row>
    <row r="56" spans="1:37" s="5" customFormat="1" ht="14" customHeight="1">
      <c r="A56" s="276"/>
      <c r="B56" s="11"/>
      <c r="C56" s="41"/>
      <c r="D56" s="41"/>
      <c r="E56" s="41"/>
      <c r="F56" s="41"/>
      <c r="G56" s="41"/>
      <c r="H56" s="41"/>
    </row>
    <row r="57" spans="1:37" s="308" customFormat="1" ht="29" customHeight="1">
      <c r="A57" s="309" t="s">
        <v>179</v>
      </c>
      <c r="B57" s="310">
        <f t="shared" ref="B57:AK57" si="21">B36+B55</f>
        <v>686974.5</v>
      </c>
      <c r="C57" s="310">
        <f t="shared" si="21"/>
        <v>710819.19675</v>
      </c>
      <c r="D57" s="310">
        <f t="shared" si="21"/>
        <v>733210.00144762499</v>
      </c>
      <c r="E57" s="310">
        <f t="shared" si="21"/>
        <v>756306.11649322521</v>
      </c>
      <c r="F57" s="310">
        <f t="shared" si="21"/>
        <v>780129.75916276185</v>
      </c>
      <c r="G57" s="310">
        <f t="shared" si="21"/>
        <v>804703.84657638869</v>
      </c>
      <c r="H57" s="310">
        <f t="shared" si="21"/>
        <v>830052.01774354512</v>
      </c>
      <c r="I57" s="310">
        <f t="shared" si="21"/>
        <v>856198.65630246676</v>
      </c>
      <c r="J57" s="310">
        <f t="shared" si="21"/>
        <v>883168.91397599445</v>
      </c>
      <c r="K57" s="310">
        <f t="shared" si="21"/>
        <v>910988.73476623837</v>
      </c>
      <c r="L57" s="310">
        <f t="shared" si="21"/>
        <v>939684.879911375</v>
      </c>
      <c r="M57" s="310">
        <f t="shared" si="21"/>
        <v>969284.95362858323</v>
      </c>
      <c r="N57" s="310">
        <f t="shared" si="21"/>
        <v>999817.42966788379</v>
      </c>
      <c r="O57" s="310">
        <f t="shared" si="21"/>
        <v>1031311.6787024218</v>
      </c>
      <c r="P57" s="310">
        <f t="shared" si="21"/>
        <v>1063797.9965815481</v>
      </c>
      <c r="Q57" s="310">
        <f t="shared" si="21"/>
        <v>1097307.6334738669</v>
      </c>
      <c r="R57" s="310">
        <f t="shared" si="21"/>
        <v>1131872.8239282935</v>
      </c>
      <c r="S57" s="310">
        <f t="shared" si="21"/>
        <v>1167526.8178820349</v>
      </c>
      <c r="T57" s="310">
        <f t="shared" si="21"/>
        <v>1204303.9126453192</v>
      </c>
      <c r="U57" s="310">
        <f t="shared" si="21"/>
        <v>1242239.4858936467</v>
      </c>
      <c r="V57" s="310">
        <f t="shared" si="21"/>
        <v>1281370.0296992967</v>
      </c>
      <c r="W57" s="310">
        <f t="shared" si="21"/>
        <v>1321733.1856348242</v>
      </c>
      <c r="X57" s="310">
        <f t="shared" si="21"/>
        <v>1363367.7809823216</v>
      </c>
      <c r="Y57" s="310">
        <f t="shared" si="21"/>
        <v>1406313.8660832646</v>
      </c>
      <c r="Z57" s="310">
        <f t="shared" si="21"/>
        <v>1450612.7528648872</v>
      </c>
      <c r="AA57" s="310">
        <f t="shared" si="21"/>
        <v>1496307.0545801315</v>
      </c>
      <c r="AB57" s="310">
        <f t="shared" si="21"/>
        <v>1543440.7267994054</v>
      </c>
      <c r="AC57" s="310">
        <f t="shared" si="21"/>
        <v>1592059.1096935866</v>
      </c>
      <c r="AD57" s="310">
        <f t="shared" si="21"/>
        <v>1642208.9716489345</v>
      </c>
      <c r="AE57" s="310">
        <f t="shared" si="21"/>
        <v>1693938.554255876</v>
      </c>
      <c r="AF57" s="310">
        <f t="shared" si="21"/>
        <v>1747297.6187149361</v>
      </c>
      <c r="AG57" s="310">
        <f t="shared" si="21"/>
        <v>1802337.4937044561</v>
      </c>
      <c r="AH57" s="310">
        <f t="shared" si="21"/>
        <v>1859111.1247561467</v>
      </c>
      <c r="AI57" s="310">
        <f t="shared" si="21"/>
        <v>1917673.1251859651</v>
      </c>
      <c r="AJ57" s="310">
        <f t="shared" si="21"/>
        <v>1978079.8286293237</v>
      </c>
      <c r="AK57" s="310">
        <f t="shared" si="21"/>
        <v>2040389.3432311472</v>
      </c>
    </row>
    <row r="58" spans="1:37" s="422" customFormat="1" ht="14" customHeight="1">
      <c r="A58" s="420" t="s">
        <v>278</v>
      </c>
      <c r="B58" s="421">
        <f t="shared" ref="B58:AK58" si="22">B57/B22</f>
        <v>0.8105893805309734</v>
      </c>
      <c r="C58" s="421">
        <f t="shared" si="22"/>
        <v>0.81106593212869105</v>
      </c>
      <c r="D58" s="421">
        <f t="shared" si="22"/>
        <v>0.81106593212869105</v>
      </c>
      <c r="E58" s="421">
        <f t="shared" si="22"/>
        <v>0.81106593212869105</v>
      </c>
      <c r="F58" s="421">
        <f t="shared" si="22"/>
        <v>0.81106593212869105</v>
      </c>
      <c r="G58" s="421">
        <f t="shared" si="22"/>
        <v>0.81106593212869094</v>
      </c>
      <c r="H58" s="421">
        <f t="shared" si="22"/>
        <v>0.81106593212869094</v>
      </c>
      <c r="I58" s="421">
        <f t="shared" si="22"/>
        <v>0.81106593212869105</v>
      </c>
      <c r="J58" s="421">
        <f t="shared" si="22"/>
        <v>0.81106593212869094</v>
      </c>
      <c r="K58" s="421">
        <f t="shared" si="22"/>
        <v>0.81106593212869105</v>
      </c>
      <c r="L58" s="421">
        <f t="shared" si="22"/>
        <v>0.81106593212869105</v>
      </c>
      <c r="M58" s="421">
        <f t="shared" si="22"/>
        <v>0.81106593212869094</v>
      </c>
      <c r="N58" s="421">
        <f t="shared" si="22"/>
        <v>0.81106593212869105</v>
      </c>
      <c r="O58" s="421">
        <f t="shared" si="22"/>
        <v>0.81106593212869105</v>
      </c>
      <c r="P58" s="421">
        <f t="shared" si="22"/>
        <v>0.81106593212869105</v>
      </c>
      <c r="Q58" s="421">
        <f t="shared" si="22"/>
        <v>0.81106593212869094</v>
      </c>
      <c r="R58" s="421">
        <f t="shared" si="22"/>
        <v>0.81106593212869094</v>
      </c>
      <c r="S58" s="421">
        <f t="shared" si="22"/>
        <v>0.81106593212869094</v>
      </c>
      <c r="T58" s="421">
        <f t="shared" si="22"/>
        <v>0.81106593212869116</v>
      </c>
      <c r="U58" s="421">
        <f t="shared" si="22"/>
        <v>0.81106593212869116</v>
      </c>
      <c r="V58" s="421">
        <f t="shared" si="22"/>
        <v>0.81106593212869116</v>
      </c>
      <c r="W58" s="421">
        <f t="shared" si="22"/>
        <v>0.81106593212869105</v>
      </c>
      <c r="X58" s="421">
        <f t="shared" si="22"/>
        <v>0.81106593212869116</v>
      </c>
      <c r="Y58" s="421">
        <f t="shared" si="22"/>
        <v>0.81106593212869105</v>
      </c>
      <c r="Z58" s="421">
        <f t="shared" si="22"/>
        <v>0.81106593212869105</v>
      </c>
      <c r="AA58" s="421">
        <f t="shared" si="22"/>
        <v>0.81106593212869116</v>
      </c>
      <c r="AB58" s="421">
        <f t="shared" si="22"/>
        <v>0.81106593212869116</v>
      </c>
      <c r="AC58" s="421">
        <f t="shared" si="22"/>
        <v>0.81106593212869116</v>
      </c>
      <c r="AD58" s="421">
        <f t="shared" si="22"/>
        <v>0.81106593212869116</v>
      </c>
      <c r="AE58" s="421">
        <f t="shared" si="22"/>
        <v>0.81106593212869116</v>
      </c>
      <c r="AF58" s="421">
        <f t="shared" si="22"/>
        <v>0.81106593212869105</v>
      </c>
      <c r="AG58" s="421">
        <f t="shared" si="22"/>
        <v>0.81106593212869094</v>
      </c>
      <c r="AH58" s="421">
        <f t="shared" si="22"/>
        <v>0.81106593212869105</v>
      </c>
      <c r="AI58" s="421">
        <f t="shared" si="22"/>
        <v>0.81106593212869105</v>
      </c>
      <c r="AJ58" s="421">
        <f t="shared" si="22"/>
        <v>0.81106593212869105</v>
      </c>
      <c r="AK58" s="421">
        <f t="shared" si="22"/>
        <v>0.81106593212869105</v>
      </c>
    </row>
    <row r="59" spans="1:37" s="297" customFormat="1" ht="14" customHeight="1" thickBot="1">
      <c r="A59" s="312" t="s">
        <v>183</v>
      </c>
      <c r="B59" s="298"/>
      <c r="C59" s="298"/>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98"/>
    </row>
    <row r="60" spans="1:37" ht="14" customHeight="1" thickTop="1">
      <c r="A60" s="277"/>
      <c r="B60" s="313" t="s">
        <v>5</v>
      </c>
      <c r="C60" s="313" t="s">
        <v>6</v>
      </c>
      <c r="D60" s="313" t="s">
        <v>7</v>
      </c>
      <c r="E60" s="313" t="s">
        <v>8</v>
      </c>
      <c r="F60" s="313" t="s">
        <v>9</v>
      </c>
      <c r="G60" s="313" t="s">
        <v>10</v>
      </c>
      <c r="H60" s="313" t="s">
        <v>11</v>
      </c>
      <c r="I60" s="313" t="s">
        <v>12</v>
      </c>
      <c r="J60" s="313" t="s">
        <v>13</v>
      </c>
      <c r="K60" s="313" t="s">
        <v>14</v>
      </c>
      <c r="L60" s="313" t="s">
        <v>15</v>
      </c>
      <c r="M60" s="313" t="s">
        <v>16</v>
      </c>
      <c r="N60" s="313" t="s">
        <v>17</v>
      </c>
      <c r="O60" s="313" t="s">
        <v>18</v>
      </c>
      <c r="P60" s="313" t="s">
        <v>19</v>
      </c>
      <c r="Q60" s="313" t="s">
        <v>20</v>
      </c>
      <c r="R60" s="313" t="s">
        <v>21</v>
      </c>
      <c r="S60" s="313" t="s">
        <v>22</v>
      </c>
      <c r="T60" s="313" t="s">
        <v>23</v>
      </c>
      <c r="U60" s="313" t="s">
        <v>24</v>
      </c>
      <c r="V60" s="313" t="s">
        <v>25</v>
      </c>
      <c r="W60" s="313" t="s">
        <v>26</v>
      </c>
      <c r="X60" s="313" t="s">
        <v>27</v>
      </c>
      <c r="Y60" s="313" t="s">
        <v>28</v>
      </c>
      <c r="Z60" s="313" t="s">
        <v>46</v>
      </c>
      <c r="AA60" s="313" t="s">
        <v>47</v>
      </c>
      <c r="AB60" s="313" t="s">
        <v>48</v>
      </c>
      <c r="AC60" s="313" t="s">
        <v>49</v>
      </c>
      <c r="AD60" s="313" t="s">
        <v>50</v>
      </c>
      <c r="AE60" s="313" t="s">
        <v>51</v>
      </c>
      <c r="AF60" s="313" t="s">
        <v>52</v>
      </c>
      <c r="AG60" s="313" t="s">
        <v>53</v>
      </c>
      <c r="AH60" s="313" t="s">
        <v>54</v>
      </c>
      <c r="AI60" s="313" t="s">
        <v>55</v>
      </c>
      <c r="AJ60" s="313" t="s">
        <v>56</v>
      </c>
      <c r="AK60" s="313" t="s">
        <v>57</v>
      </c>
    </row>
    <row r="61" spans="1:37" ht="14" customHeight="1">
      <c r="A61" s="264" t="s">
        <v>186</v>
      </c>
      <c r="B61" s="21"/>
      <c r="C61" s="20"/>
      <c r="D61" s="20"/>
      <c r="E61" s="20"/>
      <c r="F61" s="20"/>
      <c r="G61" s="20"/>
      <c r="H61" s="20"/>
      <c r="I61" s="20"/>
      <c r="J61" s="20"/>
      <c r="K61" s="20"/>
      <c r="L61" s="20"/>
      <c r="M61" s="20"/>
      <c r="N61" s="20"/>
      <c r="O61" s="20"/>
      <c r="P61" s="20"/>
      <c r="Q61" s="20"/>
      <c r="R61" s="20"/>
      <c r="S61" s="20"/>
      <c r="T61" s="20"/>
      <c r="U61" s="20"/>
      <c r="V61" s="20"/>
      <c r="W61" s="20"/>
      <c r="X61" s="20"/>
      <c r="Y61" s="20"/>
      <c r="Z61" s="7"/>
      <c r="AA61" s="7"/>
      <c r="AB61" s="7"/>
      <c r="AC61" s="7"/>
      <c r="AD61" s="7"/>
      <c r="AE61" s="7"/>
      <c r="AF61" s="7"/>
      <c r="AG61" s="7"/>
      <c r="AH61" s="7"/>
      <c r="AI61" s="7"/>
      <c r="AJ61" s="7"/>
      <c r="AK61" s="7"/>
    </row>
    <row r="62" spans="1:37" s="5" customFormat="1" ht="14" customHeight="1">
      <c r="A62" s="265" t="s">
        <v>187</v>
      </c>
      <c r="B62" s="22">
        <f>'A1. BASE MODEL INPUTS'!$B$5</f>
        <v>50000</v>
      </c>
      <c r="C62" s="23">
        <f>B65</f>
        <v>52000</v>
      </c>
      <c r="D62" s="23">
        <f t="shared" ref="D62" si="23">C65</f>
        <v>54158</v>
      </c>
      <c r="E62" s="23">
        <f t="shared" ref="E62" si="24">D65</f>
        <v>56405.557000000001</v>
      </c>
      <c r="F62" s="23">
        <f t="shared" ref="F62" si="25">E65</f>
        <v>58746.387615500003</v>
      </c>
      <c r="G62" s="23">
        <f t="shared" ref="G62" si="26">F65</f>
        <v>61184.36270154325</v>
      </c>
      <c r="H62" s="23">
        <f t="shared" ref="H62" si="27">G65</f>
        <v>63723.513753657295</v>
      </c>
      <c r="I62" s="23">
        <f t="shared" ref="I62" si="28">H65</f>
        <v>66368.039574434079</v>
      </c>
      <c r="J62" s="23">
        <f t="shared" ref="J62" si="29">I65</f>
        <v>69122.313216773095</v>
      </c>
      <c r="K62" s="23">
        <f t="shared" ref="K62" si="30">J65</f>
        <v>71990.889215269184</v>
      </c>
      <c r="L62" s="23">
        <f t="shared" ref="L62" si="31">K65</f>
        <v>74978.511117702859</v>
      </c>
      <c r="M62" s="23">
        <f t="shared" ref="M62" si="32">L65</f>
        <v>78090.119329087524</v>
      </c>
      <c r="N62" s="23">
        <f t="shared" ref="N62" si="33">M65</f>
        <v>81330.859281244659</v>
      </c>
      <c r="O62" s="23">
        <f t="shared" ref="O62" si="34">N65</f>
        <v>84706.089941416314</v>
      </c>
      <c r="P62" s="23">
        <f t="shared" ref="P62" si="35">O65</f>
        <v>88221.392673985087</v>
      </c>
      <c r="Q62" s="23">
        <f t="shared" ref="Q62" si="36">P65</f>
        <v>91882.580469955472</v>
      </c>
      <c r="R62" s="23">
        <f t="shared" ref="R62" si="37">Q65</f>
        <v>95695.70755945862</v>
      </c>
      <c r="S62" s="23">
        <f t="shared" ref="S62" si="38">R65</f>
        <v>99667.079423176154</v>
      </c>
      <c r="T62" s="23">
        <f t="shared" ref="T62" si="39">S65</f>
        <v>103803.26321923797</v>
      </c>
      <c r="U62" s="23">
        <f t="shared" ref="U62" si="40">T65</f>
        <v>108111.09864283634</v>
      </c>
      <c r="V62" s="23">
        <f t="shared" ref="V62" si="41">U65</f>
        <v>112597.70923651404</v>
      </c>
      <c r="W62" s="23">
        <f t="shared" ref="W62" si="42">V65</f>
        <v>117270.51416982937</v>
      </c>
      <c r="X62" s="23">
        <f t="shared" ref="X62" si="43">W65</f>
        <v>122137.2405078773</v>
      </c>
      <c r="Y62" s="23">
        <f t="shared" ref="Y62" si="44">X65</f>
        <v>127205.93598895421</v>
      </c>
      <c r="Z62" s="23">
        <f t="shared" ref="Z62" si="45">Y65</f>
        <v>132484.98233249583</v>
      </c>
      <c r="AA62" s="23">
        <f t="shared" ref="AA62" si="46">Z65</f>
        <v>137983.10909929438</v>
      </c>
      <c r="AB62" s="23">
        <f t="shared" ref="AB62" si="47">AA65</f>
        <v>143709.40812691508</v>
      </c>
      <c r="AC62" s="23">
        <f t="shared" ref="AC62" si="48">AB65</f>
        <v>149673.34856418206</v>
      </c>
      <c r="AD62" s="23">
        <f t="shared" ref="AD62" si="49">AC65</f>
        <v>155884.79252959561</v>
      </c>
      <c r="AE62" s="23">
        <f t="shared" ref="AE62" si="50">AD65</f>
        <v>162354.01141957383</v>
      </c>
      <c r="AF62" s="23">
        <f t="shared" ref="AF62" si="51">AE65</f>
        <v>169091.70289348616</v>
      </c>
      <c r="AG62" s="23">
        <f t="shared" ref="AG62" si="52">AF65</f>
        <v>176109.00856356582</v>
      </c>
      <c r="AH62" s="23">
        <f t="shared" ref="AH62" si="53">AG65</f>
        <v>183417.53241895381</v>
      </c>
      <c r="AI62" s="23">
        <f t="shared" ref="AI62" si="54">AH65</f>
        <v>191029.3600143404</v>
      </c>
      <c r="AJ62" s="23">
        <f t="shared" ref="AJ62" si="55">AI65</f>
        <v>198957.07845493554</v>
      </c>
      <c r="AK62" s="23">
        <f t="shared" ref="AK62" si="56">AJ65</f>
        <v>207213.79721081539</v>
      </c>
    </row>
    <row r="63" spans="1:37" s="5" customFormat="1" ht="14" customHeight="1">
      <c r="A63" s="270" t="s">
        <v>188</v>
      </c>
      <c r="B63" s="289">
        <f>'A1. BASE MODEL INPUTS'!$B$8</f>
        <v>2500</v>
      </c>
      <c r="C63" s="288">
        <f>C62*'A1. BASE MODEL INPUTS'!$B$6*(1+'A1. BASE MODEL INPUTS'!$B$7)</f>
        <v>2678</v>
      </c>
      <c r="D63" s="288">
        <f>D62*'A1. BASE MODEL INPUTS'!$B$6*(1+'A1. BASE MODEL INPUTS'!$B$7)</f>
        <v>2789.1370000000002</v>
      </c>
      <c r="E63" s="288">
        <f>E62*'A1. BASE MODEL INPUTS'!$B$6*(1+'A1. BASE MODEL INPUTS'!$B$7)</f>
        <v>2904.8861855000005</v>
      </c>
      <c r="F63" s="288">
        <f>F62*'A1. BASE MODEL INPUTS'!$B$6*(1+'A1. BASE MODEL INPUTS'!$B$7)</f>
        <v>3025.4389621982505</v>
      </c>
      <c r="G63" s="288">
        <f>G62*'A1. BASE MODEL INPUTS'!$B$6*(1+'A1. BASE MODEL INPUTS'!$B$7)</f>
        <v>3150.9946791294774</v>
      </c>
      <c r="H63" s="288">
        <f>H62*'A1. BASE MODEL INPUTS'!$B$6*(1+'A1. BASE MODEL INPUTS'!$B$7)</f>
        <v>3281.7609583133508</v>
      </c>
      <c r="I63" s="288">
        <f>I62*'A1. BASE MODEL INPUTS'!$B$6*(1+'A1. BASE MODEL INPUTS'!$B$7)</f>
        <v>3417.954038083355</v>
      </c>
      <c r="J63" s="288">
        <f>J62*'A1. BASE MODEL INPUTS'!$B$6*(1+'A1. BASE MODEL INPUTS'!$B$7)</f>
        <v>3559.7991306638146</v>
      </c>
      <c r="K63" s="288">
        <f>K62*'A1. BASE MODEL INPUTS'!$B$6*(1+'A1. BASE MODEL INPUTS'!$B$7)</f>
        <v>3707.5307945863633</v>
      </c>
      <c r="L63" s="288">
        <f>L62*'A1. BASE MODEL INPUTS'!$B$6*(1+'A1. BASE MODEL INPUTS'!$B$7)</f>
        <v>3861.3933225616975</v>
      </c>
      <c r="M63" s="288">
        <f>M62*'A1. BASE MODEL INPUTS'!$B$6*(1+'A1. BASE MODEL INPUTS'!$B$7)</f>
        <v>4021.641145448008</v>
      </c>
      <c r="N63" s="288">
        <f>N62*'A1. BASE MODEL INPUTS'!$B$6*(1+'A1. BASE MODEL INPUTS'!$B$7)</f>
        <v>4188.5392529841001</v>
      </c>
      <c r="O63" s="288">
        <f>O62*'A1. BASE MODEL INPUTS'!$B$6*(1+'A1. BASE MODEL INPUTS'!$B$7)</f>
        <v>4362.3636319829411</v>
      </c>
      <c r="P63" s="288">
        <f>P62*'A1. BASE MODEL INPUTS'!$B$6*(1+'A1. BASE MODEL INPUTS'!$B$7)</f>
        <v>4543.4017227102322</v>
      </c>
      <c r="Q63" s="288">
        <f>Q62*'A1. BASE MODEL INPUTS'!$B$6*(1+'A1. BASE MODEL INPUTS'!$B$7)</f>
        <v>4731.9528942027073</v>
      </c>
      <c r="R63" s="288">
        <f>R62*'A1. BASE MODEL INPUTS'!$B$6*(1+'A1. BASE MODEL INPUTS'!$B$7)</f>
        <v>4928.3289393121195</v>
      </c>
      <c r="S63" s="288">
        <f>S62*'A1. BASE MODEL INPUTS'!$B$6*(1+'A1. BASE MODEL INPUTS'!$B$7)</f>
        <v>5132.854590293573</v>
      </c>
      <c r="T63" s="288">
        <f>T62*'A1. BASE MODEL INPUTS'!$B$6*(1+'A1. BASE MODEL INPUTS'!$B$7)</f>
        <v>5345.8680557907564</v>
      </c>
      <c r="U63" s="288">
        <f>U62*'A1. BASE MODEL INPUTS'!$B$6*(1+'A1. BASE MODEL INPUTS'!$B$7)</f>
        <v>5567.721580106072</v>
      </c>
      <c r="V63" s="288">
        <f>V62*'A1. BASE MODEL INPUTS'!$B$6*(1+'A1. BASE MODEL INPUTS'!$B$7)</f>
        <v>5798.7820256804744</v>
      </c>
      <c r="W63" s="288">
        <f>W62*'A1. BASE MODEL INPUTS'!$B$6*(1+'A1. BASE MODEL INPUTS'!$B$7)</f>
        <v>6039.4314797462139</v>
      </c>
      <c r="X63" s="288">
        <f>X62*'A1. BASE MODEL INPUTS'!$B$6*(1+'A1. BASE MODEL INPUTS'!$B$7)</f>
        <v>6290.0678861556817</v>
      </c>
      <c r="Y63" s="288">
        <f>Y62*'A1. BASE MODEL INPUTS'!$B$6*(1+'A1. BASE MODEL INPUTS'!$B$7)</f>
        <v>6551.1057034311425</v>
      </c>
      <c r="Z63" s="288">
        <f>Z62*'A1. BASE MODEL INPUTS'!$B$6*(1+'A1. BASE MODEL INPUTS'!$B$7)</f>
        <v>6822.976590123536</v>
      </c>
      <c r="AA63" s="288">
        <f>AA62*'A1. BASE MODEL INPUTS'!$B$6*(1+'A1. BASE MODEL INPUTS'!$B$7)</f>
        <v>7106.1301186136607</v>
      </c>
      <c r="AB63" s="288">
        <f>AB62*'A1. BASE MODEL INPUTS'!$B$6*(1+'A1. BASE MODEL INPUTS'!$B$7)</f>
        <v>7401.0345185361266</v>
      </c>
      <c r="AC63" s="288">
        <f>AC62*'A1. BASE MODEL INPUTS'!$B$6*(1+'A1. BASE MODEL INPUTS'!$B$7)</f>
        <v>7708.1774510553769</v>
      </c>
      <c r="AD63" s="288">
        <f>AD62*'A1. BASE MODEL INPUTS'!$B$6*(1+'A1. BASE MODEL INPUTS'!$B$7)</f>
        <v>8028.0668152741746</v>
      </c>
      <c r="AE63" s="288">
        <f>AE62*'A1. BASE MODEL INPUTS'!$B$6*(1+'A1. BASE MODEL INPUTS'!$B$7)</f>
        <v>8361.2315881080522</v>
      </c>
      <c r="AF63" s="288">
        <f>AF62*'A1. BASE MODEL INPUTS'!$B$6*(1+'A1. BASE MODEL INPUTS'!$B$7)</f>
        <v>8708.2226990145391</v>
      </c>
      <c r="AG63" s="288">
        <f>AG62*'A1. BASE MODEL INPUTS'!$B$6*(1+'A1. BASE MODEL INPUTS'!$B$7)</f>
        <v>9069.613941023641</v>
      </c>
      <c r="AH63" s="288">
        <f>AH62*'A1. BASE MODEL INPUTS'!$B$6*(1+'A1. BASE MODEL INPUTS'!$B$7)</f>
        <v>9446.0029195761217</v>
      </c>
      <c r="AI63" s="288">
        <f>AI62*'A1. BASE MODEL INPUTS'!$B$6*(1+'A1. BASE MODEL INPUTS'!$B$7)</f>
        <v>9838.0120407385311</v>
      </c>
      <c r="AJ63" s="288">
        <f>AJ62*'A1. BASE MODEL INPUTS'!$B$6*(1+'A1. BASE MODEL INPUTS'!$B$7)</f>
        <v>10246.289540429181</v>
      </c>
      <c r="AK63" s="288">
        <f>AK62*'A1. BASE MODEL INPUTS'!$B$6*(1+'A1. BASE MODEL INPUTS'!$B$7)</f>
        <v>10671.510556356992</v>
      </c>
    </row>
    <row r="64" spans="1:37" s="5" customFormat="1" ht="14" customHeight="1">
      <c r="A64" s="266" t="s">
        <v>189</v>
      </c>
      <c r="B64" s="24">
        <f>-B62*('A1. BASE MODEL INPUTS'!$E$12)</f>
        <v>-500</v>
      </c>
      <c r="C64" s="24">
        <f>-C62*('A1. BASE MODEL INPUTS'!$E$12)</f>
        <v>-520</v>
      </c>
      <c r="D64" s="24">
        <f>-D62*('A1. BASE MODEL INPUTS'!$E$12)</f>
        <v>-541.58000000000004</v>
      </c>
      <c r="E64" s="24">
        <f>-E62*('A1. BASE MODEL INPUTS'!$E$12)</f>
        <v>-564.05556999999999</v>
      </c>
      <c r="F64" s="24">
        <f>-F62*('A1. BASE MODEL INPUTS'!$E$12)</f>
        <v>-587.46387615500009</v>
      </c>
      <c r="G64" s="24">
        <f>-G62*('A1. BASE MODEL INPUTS'!$E$12)</f>
        <v>-611.8436270154325</v>
      </c>
      <c r="H64" s="24">
        <f>-H62*('A1. BASE MODEL INPUTS'!$E$12)</f>
        <v>-637.23513753657301</v>
      </c>
      <c r="I64" s="24">
        <f>-I62*('A1. BASE MODEL INPUTS'!$E$12)</f>
        <v>-663.68039574434079</v>
      </c>
      <c r="J64" s="24">
        <f>-J62*('A1. BASE MODEL INPUTS'!$E$12)</f>
        <v>-691.22313216773091</v>
      </c>
      <c r="K64" s="24">
        <f>-K62*('A1. BASE MODEL INPUTS'!$E$12)</f>
        <v>-719.90889215269181</v>
      </c>
      <c r="L64" s="24">
        <f>-L62*('A1. BASE MODEL INPUTS'!$E$12)</f>
        <v>-749.78511117702863</v>
      </c>
      <c r="M64" s="24">
        <f>-M62*('A1. BASE MODEL INPUTS'!$E$12)</f>
        <v>-780.9011932908752</v>
      </c>
      <c r="N64" s="24">
        <f>-N62*('A1. BASE MODEL INPUTS'!$E$12)</f>
        <v>-813.30859281244659</v>
      </c>
      <c r="O64" s="24">
        <f>-O62*('A1. BASE MODEL INPUTS'!$E$12)</f>
        <v>-847.06089941416315</v>
      </c>
      <c r="P64" s="24">
        <f>-P62*('A1. BASE MODEL INPUTS'!$E$12)</f>
        <v>-882.21392673985088</v>
      </c>
      <c r="Q64" s="24">
        <f>-Q62*('A1. BASE MODEL INPUTS'!$E$12)</f>
        <v>-918.82580469955474</v>
      </c>
      <c r="R64" s="24">
        <f>-R62*('A1. BASE MODEL INPUTS'!$E$12)</f>
        <v>-956.95707559458617</v>
      </c>
      <c r="S64" s="24">
        <f>-S62*('A1. BASE MODEL INPUTS'!$E$12)</f>
        <v>-996.67079423176153</v>
      </c>
      <c r="T64" s="24">
        <f>-T62*('A1. BASE MODEL INPUTS'!$E$12)</f>
        <v>-1038.0326321923797</v>
      </c>
      <c r="U64" s="24">
        <f>-U62*('A1. BASE MODEL INPUTS'!$E$12)</f>
        <v>-1081.1109864283635</v>
      </c>
      <c r="V64" s="24">
        <f>-V62*('A1. BASE MODEL INPUTS'!$E$12)</f>
        <v>-1125.9770923651404</v>
      </c>
      <c r="W64" s="24">
        <f>-W62*('A1. BASE MODEL INPUTS'!$E$12)</f>
        <v>-1172.7051416982938</v>
      </c>
      <c r="X64" s="24">
        <f>-X62*('A1. BASE MODEL INPUTS'!$E$12)</f>
        <v>-1221.372405078773</v>
      </c>
      <c r="Y64" s="24">
        <f>-Y62*('A1. BASE MODEL INPUTS'!$E$12)</f>
        <v>-1272.0593598895421</v>
      </c>
      <c r="Z64" s="24">
        <f>-Z62*('A1. BASE MODEL INPUTS'!$E$12)</f>
        <v>-1324.8498233249584</v>
      </c>
      <c r="AA64" s="24">
        <f>-AA62*('A1. BASE MODEL INPUTS'!$E$12)</f>
        <v>-1379.8310909929439</v>
      </c>
      <c r="AB64" s="24">
        <f>-AB62*('A1. BASE MODEL INPUTS'!$E$12)</f>
        <v>-1437.0940812691508</v>
      </c>
      <c r="AC64" s="24">
        <f>-AC62*('A1. BASE MODEL INPUTS'!$E$12)</f>
        <v>-1496.7334856418206</v>
      </c>
      <c r="AD64" s="24">
        <f>-AD62*('A1. BASE MODEL INPUTS'!$E$12)</f>
        <v>-1558.8479252959562</v>
      </c>
      <c r="AE64" s="24">
        <f>-AE62*('A1. BASE MODEL INPUTS'!$E$12)</f>
        <v>-1623.5401141957384</v>
      </c>
      <c r="AF64" s="24">
        <f>-AF62*('A1. BASE MODEL INPUTS'!$E$12)</f>
        <v>-1690.9170289348617</v>
      </c>
      <c r="AG64" s="24">
        <f>-AG62*('A1. BASE MODEL INPUTS'!$E$12)</f>
        <v>-1761.0900856356582</v>
      </c>
      <c r="AH64" s="24">
        <f>-AH62*('A1. BASE MODEL INPUTS'!$E$12)</f>
        <v>-1834.1753241895381</v>
      </c>
      <c r="AI64" s="24">
        <f>-AI62*('A1. BASE MODEL INPUTS'!$E$12)</f>
        <v>-1910.2936001434041</v>
      </c>
      <c r="AJ64" s="24">
        <f>-AJ62*('A1. BASE MODEL INPUTS'!$E$12)</f>
        <v>-1989.5707845493555</v>
      </c>
      <c r="AK64" s="24">
        <f>-AK62*('A1. BASE MODEL INPUTS'!$E$12)</f>
        <v>-2072.1379721081539</v>
      </c>
    </row>
    <row r="65" spans="1:48" s="5" customFormat="1" ht="14" customHeight="1">
      <c r="A65" s="266" t="s">
        <v>190</v>
      </c>
      <c r="B65" s="24">
        <f t="shared" ref="B65:AK65" si="57">SUM(B62:B64)</f>
        <v>52000</v>
      </c>
      <c r="C65" s="24">
        <f t="shared" si="57"/>
        <v>54158</v>
      </c>
      <c r="D65" s="24">
        <f t="shared" si="57"/>
        <v>56405.557000000001</v>
      </c>
      <c r="E65" s="24">
        <f t="shared" si="57"/>
        <v>58746.387615500003</v>
      </c>
      <c r="F65" s="24">
        <f t="shared" si="57"/>
        <v>61184.36270154325</v>
      </c>
      <c r="G65" s="24">
        <f t="shared" si="57"/>
        <v>63723.513753657295</v>
      </c>
      <c r="H65" s="24">
        <f t="shared" si="57"/>
        <v>66368.039574434079</v>
      </c>
      <c r="I65" s="24">
        <f t="shared" si="57"/>
        <v>69122.313216773095</v>
      </c>
      <c r="J65" s="24">
        <f t="shared" si="57"/>
        <v>71990.889215269184</v>
      </c>
      <c r="K65" s="24">
        <f t="shared" si="57"/>
        <v>74978.511117702859</v>
      </c>
      <c r="L65" s="24">
        <f t="shared" si="57"/>
        <v>78090.119329087524</v>
      </c>
      <c r="M65" s="24">
        <f t="shared" si="57"/>
        <v>81330.859281244659</v>
      </c>
      <c r="N65" s="24">
        <f t="shared" si="57"/>
        <v>84706.089941416314</v>
      </c>
      <c r="O65" s="24">
        <f t="shared" si="57"/>
        <v>88221.392673985087</v>
      </c>
      <c r="P65" s="24">
        <f t="shared" si="57"/>
        <v>91882.580469955472</v>
      </c>
      <c r="Q65" s="24">
        <f t="shared" si="57"/>
        <v>95695.70755945862</v>
      </c>
      <c r="R65" s="24">
        <f t="shared" si="57"/>
        <v>99667.079423176154</v>
      </c>
      <c r="S65" s="24">
        <f t="shared" si="57"/>
        <v>103803.26321923797</v>
      </c>
      <c r="T65" s="24">
        <f t="shared" si="57"/>
        <v>108111.09864283634</v>
      </c>
      <c r="U65" s="24">
        <f t="shared" si="57"/>
        <v>112597.70923651404</v>
      </c>
      <c r="V65" s="24">
        <f t="shared" si="57"/>
        <v>117270.51416982937</v>
      </c>
      <c r="W65" s="24">
        <f t="shared" si="57"/>
        <v>122137.2405078773</v>
      </c>
      <c r="X65" s="24">
        <f t="shared" si="57"/>
        <v>127205.93598895421</v>
      </c>
      <c r="Y65" s="24">
        <f t="shared" si="57"/>
        <v>132484.98233249583</v>
      </c>
      <c r="Z65" s="24">
        <f t="shared" si="57"/>
        <v>137983.10909929438</v>
      </c>
      <c r="AA65" s="24">
        <f t="shared" si="57"/>
        <v>143709.40812691508</v>
      </c>
      <c r="AB65" s="24">
        <f t="shared" si="57"/>
        <v>149673.34856418206</v>
      </c>
      <c r="AC65" s="24">
        <f t="shared" si="57"/>
        <v>155884.79252959561</v>
      </c>
      <c r="AD65" s="24">
        <f t="shared" si="57"/>
        <v>162354.01141957383</v>
      </c>
      <c r="AE65" s="24">
        <f t="shared" si="57"/>
        <v>169091.70289348616</v>
      </c>
      <c r="AF65" s="24">
        <f t="shared" si="57"/>
        <v>176109.00856356582</v>
      </c>
      <c r="AG65" s="24">
        <f t="shared" si="57"/>
        <v>183417.53241895381</v>
      </c>
      <c r="AH65" s="24">
        <f t="shared" si="57"/>
        <v>191029.3600143404</v>
      </c>
      <c r="AI65" s="24">
        <f t="shared" si="57"/>
        <v>198957.07845493554</v>
      </c>
      <c r="AJ65" s="24">
        <f t="shared" si="57"/>
        <v>207213.79721081539</v>
      </c>
      <c r="AK65" s="24">
        <f t="shared" si="57"/>
        <v>215813.16979506423</v>
      </c>
    </row>
    <row r="66" spans="1:48" s="5" customFormat="1" ht="14" customHeight="1">
      <c r="A66" s="266"/>
      <c r="B66" s="24"/>
      <c r="C66" s="25"/>
      <c r="D66" s="25"/>
      <c r="E66" s="25"/>
      <c r="F66" s="25"/>
      <c r="G66" s="25"/>
      <c r="H66" s="26"/>
      <c r="I66" s="27"/>
      <c r="J66" s="28"/>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row>
    <row r="67" spans="1:48" s="5" customFormat="1" ht="14" customHeight="1" thickBot="1">
      <c r="A67" s="307" t="s">
        <v>4</v>
      </c>
      <c r="B67" s="299"/>
      <c r="C67" s="300"/>
      <c r="D67" s="300"/>
      <c r="E67" s="300"/>
      <c r="F67" s="300"/>
      <c r="G67" s="300"/>
      <c r="H67" s="301"/>
      <c r="I67" s="302"/>
      <c r="J67" s="303"/>
      <c r="K67" s="304"/>
      <c r="L67" s="304"/>
      <c r="M67" s="304"/>
      <c r="N67" s="304"/>
      <c r="O67" s="304"/>
      <c r="P67" s="304"/>
      <c r="Q67" s="304"/>
      <c r="R67" s="304"/>
      <c r="S67" s="304"/>
      <c r="T67" s="304"/>
      <c r="U67" s="304"/>
      <c r="V67" s="304"/>
      <c r="W67" s="304"/>
      <c r="X67" s="304"/>
      <c r="Y67" s="304"/>
      <c r="Z67" s="304"/>
      <c r="AA67" s="304"/>
      <c r="AB67" s="304"/>
      <c r="AC67" s="304"/>
      <c r="AD67" s="304"/>
      <c r="AE67" s="304"/>
      <c r="AF67" s="304"/>
      <c r="AG67" s="304"/>
      <c r="AH67" s="304"/>
      <c r="AI67" s="304"/>
      <c r="AJ67" s="304"/>
      <c r="AK67" s="304"/>
    </row>
    <row r="68" spans="1:48" s="5" customFormat="1" ht="14" customHeight="1">
      <c r="A68" s="265" t="str">
        <f>A18</f>
        <v>Expected number of deposit payments</v>
      </c>
      <c r="B68" s="24">
        <f t="shared" ref="B68:AK68" si="58">B63</f>
        <v>2500</v>
      </c>
      <c r="C68" s="24">
        <f t="shared" si="58"/>
        <v>2678</v>
      </c>
      <c r="D68" s="24">
        <f t="shared" si="58"/>
        <v>2789.1370000000002</v>
      </c>
      <c r="E68" s="24">
        <f t="shared" si="58"/>
        <v>2904.8861855000005</v>
      </c>
      <c r="F68" s="24">
        <f t="shared" si="58"/>
        <v>3025.4389621982505</v>
      </c>
      <c r="G68" s="24">
        <f t="shared" si="58"/>
        <v>3150.9946791294774</v>
      </c>
      <c r="H68" s="24">
        <f t="shared" si="58"/>
        <v>3281.7609583133508</v>
      </c>
      <c r="I68" s="24">
        <f t="shared" si="58"/>
        <v>3417.954038083355</v>
      </c>
      <c r="J68" s="24">
        <f t="shared" si="58"/>
        <v>3559.7991306638146</v>
      </c>
      <c r="K68" s="24">
        <f t="shared" si="58"/>
        <v>3707.5307945863633</v>
      </c>
      <c r="L68" s="24">
        <f t="shared" si="58"/>
        <v>3861.3933225616975</v>
      </c>
      <c r="M68" s="24">
        <f t="shared" si="58"/>
        <v>4021.641145448008</v>
      </c>
      <c r="N68" s="24">
        <f t="shared" si="58"/>
        <v>4188.5392529841001</v>
      </c>
      <c r="O68" s="24">
        <f t="shared" si="58"/>
        <v>4362.3636319829411</v>
      </c>
      <c r="P68" s="24">
        <f t="shared" si="58"/>
        <v>4543.4017227102322</v>
      </c>
      <c r="Q68" s="24">
        <f t="shared" si="58"/>
        <v>4731.9528942027073</v>
      </c>
      <c r="R68" s="24">
        <f t="shared" si="58"/>
        <v>4928.3289393121195</v>
      </c>
      <c r="S68" s="24">
        <f t="shared" si="58"/>
        <v>5132.854590293573</v>
      </c>
      <c r="T68" s="24">
        <f t="shared" si="58"/>
        <v>5345.8680557907564</v>
      </c>
      <c r="U68" s="24">
        <f t="shared" si="58"/>
        <v>5567.721580106072</v>
      </c>
      <c r="V68" s="24">
        <f t="shared" si="58"/>
        <v>5798.7820256804744</v>
      </c>
      <c r="W68" s="24">
        <f t="shared" si="58"/>
        <v>6039.4314797462139</v>
      </c>
      <c r="X68" s="24">
        <f t="shared" si="58"/>
        <v>6290.0678861556817</v>
      </c>
      <c r="Y68" s="24">
        <f t="shared" si="58"/>
        <v>6551.1057034311425</v>
      </c>
      <c r="Z68" s="24">
        <f t="shared" si="58"/>
        <v>6822.976590123536</v>
      </c>
      <c r="AA68" s="24">
        <f t="shared" si="58"/>
        <v>7106.1301186136607</v>
      </c>
      <c r="AB68" s="24">
        <f t="shared" si="58"/>
        <v>7401.0345185361266</v>
      </c>
      <c r="AC68" s="24">
        <f t="shared" si="58"/>
        <v>7708.1774510553769</v>
      </c>
      <c r="AD68" s="24">
        <f t="shared" si="58"/>
        <v>8028.0668152741746</v>
      </c>
      <c r="AE68" s="24">
        <f t="shared" si="58"/>
        <v>8361.2315881080522</v>
      </c>
      <c r="AF68" s="24">
        <f t="shared" si="58"/>
        <v>8708.2226990145391</v>
      </c>
      <c r="AG68" s="24">
        <f t="shared" si="58"/>
        <v>9069.613941023641</v>
      </c>
      <c r="AH68" s="24">
        <f t="shared" si="58"/>
        <v>9446.0029195761217</v>
      </c>
      <c r="AI68" s="24">
        <f t="shared" si="58"/>
        <v>9838.0120407385311</v>
      </c>
      <c r="AJ68" s="24">
        <f t="shared" si="58"/>
        <v>10246.289540429181</v>
      </c>
      <c r="AK68" s="24">
        <f t="shared" si="58"/>
        <v>10671.510556356992</v>
      </c>
    </row>
    <row r="69" spans="1:48" s="154" customFormat="1" ht="14" customHeight="1">
      <c r="A69" s="265" t="str">
        <f>A19</f>
        <v>Expected value of deposit payments</v>
      </c>
      <c r="B69" s="80">
        <f>B68*'A1. BASE MODEL INPUTS'!$E$6</f>
        <v>75000</v>
      </c>
      <c r="C69" s="80">
        <f>C68*'A1. BASE MODEL INPUTS'!$E$6</f>
        <v>80340</v>
      </c>
      <c r="D69" s="80">
        <f>D68*'A1. BASE MODEL INPUTS'!$E$6</f>
        <v>83674.11</v>
      </c>
      <c r="E69" s="80">
        <f>E68*'A1. BASE MODEL INPUTS'!$E$6</f>
        <v>87146.585565000016</v>
      </c>
      <c r="F69" s="80">
        <f>F68*'A1. BASE MODEL INPUTS'!$E$6</f>
        <v>90763.168865947518</v>
      </c>
      <c r="G69" s="80">
        <f>G68*'A1. BASE MODEL INPUTS'!$E$6</f>
        <v>94529.840373884319</v>
      </c>
      <c r="H69" s="80">
        <f>H68*'A1. BASE MODEL INPUTS'!$E$6</f>
        <v>98452.82874940052</v>
      </c>
      <c r="I69" s="80">
        <f>I68*'A1. BASE MODEL INPUTS'!$E$6</f>
        <v>102538.62114250065</v>
      </c>
      <c r="J69" s="80">
        <f>J68*'A1. BASE MODEL INPUTS'!$E$6</f>
        <v>106793.97391991444</v>
      </c>
      <c r="K69" s="80">
        <f>K68*'A1. BASE MODEL INPUTS'!$E$6</f>
        <v>111225.9238375909</v>
      </c>
      <c r="L69" s="80">
        <f>L68*'A1. BASE MODEL INPUTS'!$E$6</f>
        <v>115841.79967685092</v>
      </c>
      <c r="M69" s="80">
        <f>M68*'A1. BASE MODEL INPUTS'!$E$6</f>
        <v>120649.23436344024</v>
      </c>
      <c r="N69" s="80">
        <f>N68*'A1. BASE MODEL INPUTS'!$E$6</f>
        <v>125656.17758952301</v>
      </c>
      <c r="O69" s="80">
        <f>O68*'A1. BASE MODEL INPUTS'!$E$6</f>
        <v>130870.90895948824</v>
      </c>
      <c r="P69" s="80">
        <f>P68*'A1. BASE MODEL INPUTS'!$E$6</f>
        <v>136302.05168130697</v>
      </c>
      <c r="Q69" s="80">
        <f>Q68*'A1. BASE MODEL INPUTS'!$E$6</f>
        <v>141958.58682608121</v>
      </c>
      <c r="R69" s="80">
        <f>R68*'A1. BASE MODEL INPUTS'!$E$6</f>
        <v>147849.86817936358</v>
      </c>
      <c r="S69" s="80">
        <f>S68*'A1. BASE MODEL INPUTS'!$E$6</f>
        <v>153985.63770880719</v>
      </c>
      <c r="T69" s="80">
        <f>T68*'A1. BASE MODEL INPUTS'!$E$6</f>
        <v>160376.04167372271</v>
      </c>
      <c r="U69" s="80">
        <f>U68*'A1. BASE MODEL INPUTS'!$E$6</f>
        <v>167031.64740318217</v>
      </c>
      <c r="V69" s="80">
        <f>V68*'A1. BASE MODEL INPUTS'!$E$6</f>
        <v>173963.46077041424</v>
      </c>
      <c r="W69" s="80">
        <f>W68*'A1. BASE MODEL INPUTS'!$E$6</f>
        <v>181182.94439238642</v>
      </c>
      <c r="X69" s="80">
        <f>X68*'A1. BASE MODEL INPUTS'!$E$6</f>
        <v>188702.03658467045</v>
      </c>
      <c r="Y69" s="80">
        <f>Y68*'A1. BASE MODEL INPUTS'!$E$6</f>
        <v>196533.17110293428</v>
      </c>
      <c r="Z69" s="80">
        <f>Z68*'A1. BASE MODEL INPUTS'!$E$6</f>
        <v>204689.29770370608</v>
      </c>
      <c r="AA69" s="80">
        <f>AA68*'A1. BASE MODEL INPUTS'!$E$6</f>
        <v>213183.90355840983</v>
      </c>
      <c r="AB69" s="80">
        <f>AB68*'A1. BASE MODEL INPUTS'!$E$6</f>
        <v>222031.03555608381</v>
      </c>
      <c r="AC69" s="80">
        <f>AC68*'A1. BASE MODEL INPUTS'!$E$6</f>
        <v>231245.3235316613</v>
      </c>
      <c r="AD69" s="80">
        <f>AD68*'A1. BASE MODEL INPUTS'!$E$6</f>
        <v>240842.00445822524</v>
      </c>
      <c r="AE69" s="80">
        <f>AE68*'A1. BASE MODEL INPUTS'!$E$6</f>
        <v>250836.94764324155</v>
      </c>
      <c r="AF69" s="80">
        <f>AF68*'A1. BASE MODEL INPUTS'!$E$6</f>
        <v>261246.68097043617</v>
      </c>
      <c r="AG69" s="80">
        <f>AG68*'A1. BASE MODEL INPUTS'!$E$6</f>
        <v>272088.41823070921</v>
      </c>
      <c r="AH69" s="80">
        <f>AH68*'A1. BASE MODEL INPUTS'!$E$6</f>
        <v>283380.08758728363</v>
      </c>
      <c r="AI69" s="80">
        <f>AI68*'A1. BASE MODEL INPUTS'!$E$6</f>
        <v>295140.36122215592</v>
      </c>
      <c r="AJ69" s="80">
        <f>AJ68*'A1. BASE MODEL INPUTS'!$E$6</f>
        <v>307388.68621287541</v>
      </c>
      <c r="AK69" s="80">
        <f>AK68*'A1. BASE MODEL INPUTS'!$E$6</f>
        <v>320145.31669070979</v>
      </c>
    </row>
    <row r="70" spans="1:48" s="154" customFormat="1" ht="14" customHeight="1">
      <c r="A70" s="265" t="str">
        <f>A20</f>
        <v xml:space="preserve">Expected number of top-up transactions </v>
      </c>
      <c r="B70" s="147">
        <f>B65*'A1. BASE MODEL INPUTS'!$E$8</f>
        <v>104000</v>
      </c>
      <c r="C70" s="147">
        <f>C65*'A1. BASE MODEL INPUTS'!$E$8</f>
        <v>108316</v>
      </c>
      <c r="D70" s="147">
        <f>D65*'A1. BASE MODEL INPUTS'!$E$8</f>
        <v>112811.114</v>
      </c>
      <c r="E70" s="147">
        <f>E65*'A1. BASE MODEL INPUTS'!$E$8</f>
        <v>117492.77523100001</v>
      </c>
      <c r="F70" s="147">
        <f>F65*'A1. BASE MODEL INPUTS'!$E$8</f>
        <v>122368.7254030865</v>
      </c>
      <c r="G70" s="147">
        <f>G65*'A1. BASE MODEL INPUTS'!$E$8</f>
        <v>127447.02750731459</v>
      </c>
      <c r="H70" s="147">
        <f>H65*'A1. BASE MODEL INPUTS'!$E$8</f>
        <v>132736.07914886816</v>
      </c>
      <c r="I70" s="147">
        <f>I65*'A1. BASE MODEL INPUTS'!$E$8</f>
        <v>138244.62643354619</v>
      </c>
      <c r="J70" s="147">
        <f>J65*'A1. BASE MODEL INPUTS'!$E$8</f>
        <v>143981.77843053837</v>
      </c>
      <c r="K70" s="147">
        <f>K65*'A1. BASE MODEL INPUTS'!$E$8</f>
        <v>149957.02223540572</v>
      </c>
      <c r="L70" s="147">
        <f>L65*'A1. BASE MODEL INPUTS'!$E$8</f>
        <v>156180.23865817505</v>
      </c>
      <c r="M70" s="147">
        <f>M65*'A1. BASE MODEL INPUTS'!$E$8</f>
        <v>162661.71856248932</v>
      </c>
      <c r="N70" s="147">
        <f>N65*'A1. BASE MODEL INPUTS'!$E$8</f>
        <v>169412.17988283263</v>
      </c>
      <c r="O70" s="147">
        <f>O65*'A1. BASE MODEL INPUTS'!$E$8</f>
        <v>176442.78534797017</v>
      </c>
      <c r="P70" s="147">
        <f>P65*'A1. BASE MODEL INPUTS'!$E$8</f>
        <v>183765.16093991094</v>
      </c>
      <c r="Q70" s="147">
        <f>Q65*'A1. BASE MODEL INPUTS'!$E$8</f>
        <v>191391.41511891724</v>
      </c>
      <c r="R70" s="147">
        <f>R65*'A1. BASE MODEL INPUTS'!$E$8</f>
        <v>199334.15884635231</v>
      </c>
      <c r="S70" s="147">
        <f>S65*'A1. BASE MODEL INPUTS'!$E$8</f>
        <v>207606.52643847594</v>
      </c>
      <c r="T70" s="147">
        <f>T65*'A1. BASE MODEL INPUTS'!$E$8</f>
        <v>216222.19728567268</v>
      </c>
      <c r="U70" s="147">
        <f>U65*'A1. BASE MODEL INPUTS'!$E$8</f>
        <v>225195.41847302808</v>
      </c>
      <c r="V70" s="147">
        <f>V65*'A1. BASE MODEL INPUTS'!$E$8</f>
        <v>234541.02833965875</v>
      </c>
      <c r="W70" s="147">
        <f>W65*'A1. BASE MODEL INPUTS'!$E$8</f>
        <v>244274.4810157546</v>
      </c>
      <c r="X70" s="147">
        <f>X65*'A1. BASE MODEL INPUTS'!$E$8</f>
        <v>254411.87197790842</v>
      </c>
      <c r="Y70" s="147">
        <f>Y65*'A1. BASE MODEL INPUTS'!$E$8</f>
        <v>264969.96466499165</v>
      </c>
      <c r="Z70" s="147">
        <f>Z65*'A1. BASE MODEL INPUTS'!$E$8</f>
        <v>275966.21819858876</v>
      </c>
      <c r="AA70" s="147">
        <f>AA65*'A1. BASE MODEL INPUTS'!$E$8</f>
        <v>287418.81625383015</v>
      </c>
      <c r="AB70" s="147">
        <f>AB65*'A1. BASE MODEL INPUTS'!$E$8</f>
        <v>299346.69712836412</v>
      </c>
      <c r="AC70" s="147">
        <f>AC65*'A1. BASE MODEL INPUTS'!$E$8</f>
        <v>311769.58505919122</v>
      </c>
      <c r="AD70" s="147">
        <f>AD65*'A1. BASE MODEL INPUTS'!$E$8</f>
        <v>324708.02283914766</v>
      </c>
      <c r="AE70" s="147">
        <f>AE65*'A1. BASE MODEL INPUTS'!$E$8</f>
        <v>338183.40578697232</v>
      </c>
      <c r="AF70" s="147">
        <f>AF65*'A1. BASE MODEL INPUTS'!$E$8</f>
        <v>352218.01712713164</v>
      </c>
      <c r="AG70" s="147">
        <f>AG65*'A1. BASE MODEL INPUTS'!$E$8</f>
        <v>366835.06483790762</v>
      </c>
      <c r="AH70" s="147">
        <f>AH65*'A1. BASE MODEL INPUTS'!$E$8</f>
        <v>382058.72002868081</v>
      </c>
      <c r="AI70" s="147">
        <f>AI65*'A1. BASE MODEL INPUTS'!$E$8</f>
        <v>397914.15690987109</v>
      </c>
      <c r="AJ70" s="147">
        <f>AJ65*'A1. BASE MODEL INPUTS'!$E$8</f>
        <v>414427.59442163078</v>
      </c>
      <c r="AK70" s="147">
        <f>AK65*'A1. BASE MODEL INPUTS'!$E$8</f>
        <v>431626.33959012845</v>
      </c>
    </row>
    <row r="71" spans="1:48" s="5" customFormat="1" ht="14" customHeight="1">
      <c r="A71" s="265" t="str">
        <f>A21</f>
        <v>Expected value of top-up transactions</v>
      </c>
      <c r="B71" s="30">
        <f>B70*'A1. BASE MODEL INPUTS'!$E$9</f>
        <v>780000</v>
      </c>
      <c r="C71" s="30">
        <f>C70*'A1. BASE MODEL INPUTS'!$E$7/'A1. BASE MODEL INPUTS'!$E$8</f>
        <v>812370</v>
      </c>
      <c r="D71" s="30">
        <f>D70*'A1. BASE MODEL INPUTS'!$E$7/'A1. BASE MODEL INPUTS'!$E$8</f>
        <v>846083.35499999998</v>
      </c>
      <c r="E71" s="30">
        <f>E70*'A1. BASE MODEL INPUTS'!$E$7/'A1. BASE MODEL INPUTS'!$E$8</f>
        <v>881195.81423250004</v>
      </c>
      <c r="F71" s="30">
        <f>F70*'A1. BASE MODEL INPUTS'!$E$7/'A1. BASE MODEL INPUTS'!$E$8</f>
        <v>917765.44052314875</v>
      </c>
      <c r="G71" s="30">
        <f>G70*'A1. BASE MODEL INPUTS'!$E$7/'A1. BASE MODEL INPUTS'!$E$8</f>
        <v>955852.70630485937</v>
      </c>
      <c r="H71" s="30">
        <f>H70*'A1. BASE MODEL INPUTS'!$E$7/'A1. BASE MODEL INPUTS'!$E$8</f>
        <v>995520.59361651121</v>
      </c>
      <c r="I71" s="30">
        <f>I70*'A1. BASE MODEL INPUTS'!$E$7/'A1. BASE MODEL INPUTS'!$E$8</f>
        <v>1036834.6982515964</v>
      </c>
      <c r="J71" s="30">
        <f>J70*'A1. BASE MODEL INPUTS'!$E$7/'A1. BASE MODEL INPUTS'!$E$8</f>
        <v>1079863.3382290378</v>
      </c>
      <c r="K71" s="30">
        <f>K70*'A1. BASE MODEL INPUTS'!$E$7/'A1. BASE MODEL INPUTS'!$E$8</f>
        <v>1124677.6667655429</v>
      </c>
      <c r="L71" s="30">
        <f>L70*'A1. BASE MODEL INPUTS'!$E$7/'A1. BASE MODEL INPUTS'!$E$8</f>
        <v>1171351.7899363129</v>
      </c>
      <c r="M71" s="30">
        <f>M70*'A1. BASE MODEL INPUTS'!$E$7/'A1. BASE MODEL INPUTS'!$E$8</f>
        <v>1219962.8892186699</v>
      </c>
      <c r="N71" s="30">
        <f>N70*'A1. BASE MODEL INPUTS'!$E$7/'A1. BASE MODEL INPUTS'!$E$8</f>
        <v>1270591.3491212446</v>
      </c>
      <c r="O71" s="30">
        <f>O70*'A1. BASE MODEL INPUTS'!$E$7/'A1. BASE MODEL INPUTS'!$E$8</f>
        <v>1323320.8901097763</v>
      </c>
      <c r="P71" s="30">
        <f>P70*'A1. BASE MODEL INPUTS'!$E$7/'A1. BASE MODEL INPUTS'!$E$8</f>
        <v>1378238.7070493321</v>
      </c>
      <c r="Q71" s="30">
        <f>Q70*'A1. BASE MODEL INPUTS'!$E$7/'A1. BASE MODEL INPUTS'!$E$8</f>
        <v>1435435.6133918792</v>
      </c>
      <c r="R71" s="30">
        <f>R70*'A1. BASE MODEL INPUTS'!$E$7/'A1. BASE MODEL INPUTS'!$E$8</f>
        <v>1495006.1913476423</v>
      </c>
      <c r="S71" s="30">
        <f>S70*'A1. BASE MODEL INPUTS'!$E$7/'A1. BASE MODEL INPUTS'!$E$8</f>
        <v>1557048.9482885695</v>
      </c>
      <c r="T71" s="30">
        <f>T70*'A1. BASE MODEL INPUTS'!$E$7/'A1. BASE MODEL INPUTS'!$E$8</f>
        <v>1621666.4796425451</v>
      </c>
      <c r="U71" s="30">
        <f>U70*'A1. BASE MODEL INPUTS'!$E$7/'A1. BASE MODEL INPUTS'!$E$8</f>
        <v>1688965.6385477106</v>
      </c>
      <c r="V71" s="30">
        <f>V70*'A1. BASE MODEL INPUTS'!$E$7/'A1. BASE MODEL INPUTS'!$E$8</f>
        <v>1759057.7125474405</v>
      </c>
      <c r="W71" s="30">
        <f>W70*'A1. BASE MODEL INPUTS'!$E$7/'A1. BASE MODEL INPUTS'!$E$8</f>
        <v>1832058.6076181596</v>
      </c>
      <c r="X71" s="30">
        <f>X70*'A1. BASE MODEL INPUTS'!$E$7/'A1. BASE MODEL INPUTS'!$E$8</f>
        <v>1908089.0398343131</v>
      </c>
      <c r="Y71" s="30">
        <f>Y70*'A1. BASE MODEL INPUTS'!$E$7/'A1. BASE MODEL INPUTS'!$E$8</f>
        <v>1987274.7349874375</v>
      </c>
      <c r="Z71" s="30">
        <f>Z70*'A1. BASE MODEL INPUTS'!$E$7/'A1. BASE MODEL INPUTS'!$E$8</f>
        <v>2069746.6364894158</v>
      </c>
      <c r="AA71" s="30">
        <f>AA70*'A1. BASE MODEL INPUTS'!$E$7/'A1. BASE MODEL INPUTS'!$E$8</f>
        <v>2155641.1219037264</v>
      </c>
      <c r="AB71" s="30">
        <f>AB70*'A1. BASE MODEL INPUTS'!$E$7/'A1. BASE MODEL INPUTS'!$E$8</f>
        <v>2245100.228462731</v>
      </c>
      <c r="AC71" s="30">
        <f>AC70*'A1. BASE MODEL INPUTS'!$E$7/'A1. BASE MODEL INPUTS'!$E$8</f>
        <v>2338271.8879439342</v>
      </c>
      <c r="AD71" s="30">
        <f>AD70*'A1. BASE MODEL INPUTS'!$E$7/'A1. BASE MODEL INPUTS'!$E$8</f>
        <v>2435310.1712936074</v>
      </c>
      <c r="AE71" s="30">
        <f>AE70*'A1. BASE MODEL INPUTS'!$E$7/'A1. BASE MODEL INPUTS'!$E$8</f>
        <v>2536375.5434022923</v>
      </c>
      <c r="AF71" s="30">
        <f>AF70*'A1. BASE MODEL INPUTS'!$E$7/'A1. BASE MODEL INPUTS'!$E$8</f>
        <v>2641635.1284534871</v>
      </c>
      <c r="AG71" s="30">
        <f>AG70*'A1. BASE MODEL INPUTS'!$E$7/'A1. BASE MODEL INPUTS'!$E$8</f>
        <v>2751262.9862843072</v>
      </c>
      <c r="AH71" s="30">
        <f>AH70*'A1. BASE MODEL INPUTS'!$E$7/'A1. BASE MODEL INPUTS'!$E$8</f>
        <v>2865440.4002151061</v>
      </c>
      <c r="AI71" s="30">
        <f>AI70*'A1. BASE MODEL INPUTS'!$E$7/'A1. BASE MODEL INPUTS'!$E$8</f>
        <v>2984356.1768240333</v>
      </c>
      <c r="AJ71" s="30">
        <f>AJ70*'A1. BASE MODEL INPUTS'!$E$7/'A1. BASE MODEL INPUTS'!$E$8</f>
        <v>3108206.9581622309</v>
      </c>
      <c r="AK71" s="30">
        <f>AK70*'A1. BASE MODEL INPUTS'!$E$7/'A1. BASE MODEL INPUTS'!$E$8</f>
        <v>3237197.5469259634</v>
      </c>
    </row>
    <row r="72" spans="1:48" s="292" customFormat="1" ht="14" customHeight="1">
      <c r="A72" s="314" t="str">
        <f>A22</f>
        <v>Total expected revenue (deposit + value of top-up txns.)</v>
      </c>
      <c r="B72" s="315">
        <f>B71+B69</f>
        <v>855000</v>
      </c>
      <c r="C72" s="315">
        <f t="shared" ref="C72:AK72" si="59">C71+C69</f>
        <v>892710</v>
      </c>
      <c r="D72" s="315">
        <f t="shared" si="59"/>
        <v>929757.46499999997</v>
      </c>
      <c r="E72" s="315">
        <f t="shared" si="59"/>
        <v>968342.39979750011</v>
      </c>
      <c r="F72" s="315">
        <f t="shared" si="59"/>
        <v>1008528.6093890963</v>
      </c>
      <c r="G72" s="315">
        <f t="shared" si="59"/>
        <v>1050382.5466787438</v>
      </c>
      <c r="H72" s="315">
        <f t="shared" si="59"/>
        <v>1093973.4223659118</v>
      </c>
      <c r="I72" s="315">
        <f t="shared" si="59"/>
        <v>1139373.319394097</v>
      </c>
      <c r="J72" s="315">
        <f t="shared" si="59"/>
        <v>1186657.3121489522</v>
      </c>
      <c r="K72" s="315">
        <f t="shared" si="59"/>
        <v>1235903.5906031339</v>
      </c>
      <c r="L72" s="315">
        <f t="shared" si="59"/>
        <v>1287193.5896131638</v>
      </c>
      <c r="M72" s="315">
        <f t="shared" si="59"/>
        <v>1340612.12358211</v>
      </c>
      <c r="N72" s="315">
        <f t="shared" si="59"/>
        <v>1396247.5267107675</v>
      </c>
      <c r="O72" s="315">
        <f t="shared" si="59"/>
        <v>1454191.7990692644</v>
      </c>
      <c r="P72" s="315">
        <f t="shared" si="59"/>
        <v>1514540.758730639</v>
      </c>
      <c r="Q72" s="315">
        <f t="shared" si="59"/>
        <v>1577394.2002179604</v>
      </c>
      <c r="R72" s="315">
        <f t="shared" si="59"/>
        <v>1642856.059527006</v>
      </c>
      <c r="S72" s="315">
        <f t="shared" si="59"/>
        <v>1711034.5859973766</v>
      </c>
      <c r="T72" s="315">
        <f t="shared" si="59"/>
        <v>1782042.5213162678</v>
      </c>
      <c r="U72" s="315">
        <f t="shared" si="59"/>
        <v>1855997.2859508928</v>
      </c>
      <c r="V72" s="315">
        <f t="shared" si="59"/>
        <v>1933021.1733178548</v>
      </c>
      <c r="W72" s="315">
        <f t="shared" si="59"/>
        <v>2013241.552010546</v>
      </c>
      <c r="X72" s="315">
        <f t="shared" si="59"/>
        <v>2096791.0764189835</v>
      </c>
      <c r="Y72" s="315">
        <f t="shared" si="59"/>
        <v>2183807.9060903718</v>
      </c>
      <c r="Z72" s="315">
        <f t="shared" si="59"/>
        <v>2274435.9341931217</v>
      </c>
      <c r="AA72" s="315">
        <f t="shared" si="59"/>
        <v>2368825.0254621361</v>
      </c>
      <c r="AB72" s="315">
        <f t="shared" si="59"/>
        <v>2467131.264018815</v>
      </c>
      <c r="AC72" s="315">
        <f t="shared" si="59"/>
        <v>2569517.2114755954</v>
      </c>
      <c r="AD72" s="315">
        <f t="shared" si="59"/>
        <v>2676152.1757518328</v>
      </c>
      <c r="AE72" s="315">
        <f t="shared" si="59"/>
        <v>2787212.4910455337</v>
      </c>
      <c r="AF72" s="315">
        <f t="shared" si="59"/>
        <v>2902881.809423923</v>
      </c>
      <c r="AG72" s="315">
        <f t="shared" si="59"/>
        <v>3023351.4045150164</v>
      </c>
      <c r="AH72" s="315">
        <f t="shared" si="59"/>
        <v>3148820.4878023895</v>
      </c>
      <c r="AI72" s="315">
        <f t="shared" si="59"/>
        <v>3279496.5380461891</v>
      </c>
      <c r="AJ72" s="315">
        <f t="shared" si="59"/>
        <v>3415595.6443751063</v>
      </c>
      <c r="AK72" s="315">
        <f t="shared" si="59"/>
        <v>3557342.8636166733</v>
      </c>
    </row>
    <row r="73" spans="1:48" s="5" customFormat="1" ht="14" customHeight="1">
      <c r="A73" s="266"/>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row>
    <row r="74" spans="1:48" s="5" customFormat="1" ht="14" customHeight="1">
      <c r="A74" s="294" t="str">
        <f t="shared" ref="A74:A79" si="60">A24</f>
        <v>Revenue Loss - Payment Friction Reasons</v>
      </c>
      <c r="B74" s="295"/>
      <c r="C74" s="295"/>
      <c r="D74" s="295"/>
      <c r="E74" s="295"/>
      <c r="F74" s="295"/>
      <c r="G74" s="295"/>
      <c r="H74" s="295"/>
      <c r="I74" s="295"/>
      <c r="J74" s="295"/>
      <c r="K74" s="295"/>
      <c r="L74" s="295"/>
      <c r="M74" s="295"/>
      <c r="N74" s="295"/>
      <c r="O74" s="295"/>
      <c r="P74" s="295"/>
      <c r="Q74" s="295"/>
      <c r="R74" s="295"/>
      <c r="S74" s="295"/>
      <c r="T74" s="295"/>
      <c r="U74" s="295"/>
      <c r="V74" s="295"/>
      <c r="W74" s="295"/>
      <c r="X74" s="295"/>
      <c r="Y74" s="295"/>
      <c r="Z74" s="295"/>
      <c r="AA74" s="295"/>
      <c r="AB74" s="295"/>
      <c r="AC74" s="295"/>
      <c r="AD74" s="295"/>
      <c r="AE74" s="295"/>
      <c r="AF74" s="295"/>
      <c r="AG74" s="295"/>
      <c r="AH74" s="295"/>
      <c r="AI74" s="295"/>
      <c r="AJ74" s="295"/>
      <c r="AK74" s="295"/>
    </row>
    <row r="75" spans="1:48" s="158" customFormat="1" ht="14" customHeight="1">
      <c r="A75" s="265" t="str">
        <f t="shared" si="60"/>
        <v>Total active customers that face heavy payment frictions</v>
      </c>
      <c r="B75" s="324">
        <v>0</v>
      </c>
      <c r="C75" s="319">
        <v>0</v>
      </c>
      <c r="D75" s="319">
        <v>0</v>
      </c>
      <c r="E75" s="319">
        <v>0</v>
      </c>
      <c r="F75" s="319">
        <v>0</v>
      </c>
      <c r="G75" s="319">
        <v>0</v>
      </c>
      <c r="H75" s="319">
        <v>0</v>
      </c>
      <c r="I75" s="319">
        <v>0</v>
      </c>
      <c r="J75" s="319">
        <v>0</v>
      </c>
      <c r="K75" s="319">
        <v>0</v>
      </c>
      <c r="L75" s="319">
        <v>0</v>
      </c>
      <c r="M75" s="319">
        <v>0</v>
      </c>
      <c r="N75" s="319">
        <v>0</v>
      </c>
      <c r="O75" s="319">
        <v>0</v>
      </c>
      <c r="P75" s="319">
        <v>0</v>
      </c>
      <c r="Q75" s="319">
        <v>0</v>
      </c>
      <c r="R75" s="319">
        <v>0</v>
      </c>
      <c r="S75" s="319">
        <v>0</v>
      </c>
      <c r="T75" s="319">
        <v>0</v>
      </c>
      <c r="U75" s="319">
        <v>0</v>
      </c>
      <c r="V75" s="319">
        <v>0</v>
      </c>
      <c r="W75" s="319">
        <v>0</v>
      </c>
      <c r="X75" s="319">
        <v>0</v>
      </c>
      <c r="Y75" s="319">
        <v>0</v>
      </c>
      <c r="Z75" s="319">
        <v>0</v>
      </c>
      <c r="AA75" s="319">
        <v>0</v>
      </c>
      <c r="AB75" s="319">
        <v>0</v>
      </c>
      <c r="AC75" s="319">
        <v>0</v>
      </c>
      <c r="AD75" s="319">
        <v>0</v>
      </c>
      <c r="AE75" s="319">
        <v>0</v>
      </c>
      <c r="AF75" s="319">
        <v>0</v>
      </c>
      <c r="AG75" s="319">
        <v>0</v>
      </c>
      <c r="AH75" s="319">
        <v>0</v>
      </c>
      <c r="AI75" s="319">
        <v>0</v>
      </c>
      <c r="AJ75" s="319">
        <v>0</v>
      </c>
      <c r="AK75" s="319">
        <v>0</v>
      </c>
      <c r="AL75" s="320"/>
      <c r="AM75" s="320"/>
      <c r="AN75" s="320"/>
      <c r="AO75" s="320"/>
      <c r="AP75" s="320"/>
      <c r="AQ75" s="320"/>
    </row>
    <row r="76" spans="1:48" s="5" customFormat="1" ht="14" customHeight="1">
      <c r="A76" s="265" t="str">
        <f t="shared" si="60"/>
        <v>Revenue loss from non-usage days due to payment frictions</v>
      </c>
      <c r="B76" s="325">
        <f>B75*-'A1. BASE MODEL INPUTS'!$B$15</f>
        <v>0</v>
      </c>
      <c r="C76" s="321">
        <f>C75*-'A1. BASE MODEL INPUTS'!$B$15</f>
        <v>0</v>
      </c>
      <c r="D76" s="321">
        <f>D75*-'A1. BASE MODEL INPUTS'!$B$15</f>
        <v>0</v>
      </c>
      <c r="E76" s="321">
        <f>E75*-'A1. BASE MODEL INPUTS'!$B$15</f>
        <v>0</v>
      </c>
      <c r="F76" s="321">
        <f>F75*-'A1. BASE MODEL INPUTS'!$B$15</f>
        <v>0</v>
      </c>
      <c r="G76" s="321">
        <f>G75*-'A1. BASE MODEL INPUTS'!$B$15</f>
        <v>0</v>
      </c>
      <c r="H76" s="321">
        <f>H75*-'A1. BASE MODEL INPUTS'!$B$15</f>
        <v>0</v>
      </c>
      <c r="I76" s="321">
        <f>I75*-'A1. BASE MODEL INPUTS'!$B$15</f>
        <v>0</v>
      </c>
      <c r="J76" s="321">
        <f>J75*-'A1. BASE MODEL INPUTS'!$B$15</f>
        <v>0</v>
      </c>
      <c r="K76" s="321">
        <f>K75*-'A1. BASE MODEL INPUTS'!$B$15</f>
        <v>0</v>
      </c>
      <c r="L76" s="321">
        <f>L75*-'A1. BASE MODEL INPUTS'!$B$15</f>
        <v>0</v>
      </c>
      <c r="M76" s="321">
        <f>M75*-'A1. BASE MODEL INPUTS'!$B$15</f>
        <v>0</v>
      </c>
      <c r="N76" s="321">
        <f>N75*-'A1. BASE MODEL INPUTS'!$B$15</f>
        <v>0</v>
      </c>
      <c r="O76" s="321">
        <f>O75*-'A1. BASE MODEL INPUTS'!$B$15</f>
        <v>0</v>
      </c>
      <c r="P76" s="321">
        <f>P75*-'A1. BASE MODEL INPUTS'!$B$15</f>
        <v>0</v>
      </c>
      <c r="Q76" s="321">
        <f>Q75*-'A1. BASE MODEL INPUTS'!$B$15</f>
        <v>0</v>
      </c>
      <c r="R76" s="321">
        <f>R75*-'A1. BASE MODEL INPUTS'!$B$15</f>
        <v>0</v>
      </c>
      <c r="S76" s="321">
        <f>S75*-'A1. BASE MODEL INPUTS'!$B$15</f>
        <v>0</v>
      </c>
      <c r="T76" s="321">
        <f>T75*-'A1. BASE MODEL INPUTS'!$B$15</f>
        <v>0</v>
      </c>
      <c r="U76" s="321">
        <f>U75*-'A1. BASE MODEL INPUTS'!$B$15</f>
        <v>0</v>
      </c>
      <c r="V76" s="321">
        <f>V75*-'A1. BASE MODEL INPUTS'!$B$15</f>
        <v>0</v>
      </c>
      <c r="W76" s="321">
        <f>W75*-'A1. BASE MODEL INPUTS'!$B$15</f>
        <v>0</v>
      </c>
      <c r="X76" s="321">
        <f>X75*-'A1. BASE MODEL INPUTS'!$B$15</f>
        <v>0</v>
      </c>
      <c r="Y76" s="321">
        <f>Y75*-'A1. BASE MODEL INPUTS'!$B$15</f>
        <v>0</v>
      </c>
      <c r="Z76" s="321">
        <f>Z75*-'A1. BASE MODEL INPUTS'!$B$15</f>
        <v>0</v>
      </c>
      <c r="AA76" s="321">
        <f>AA75*-'A1. BASE MODEL INPUTS'!$B$15</f>
        <v>0</v>
      </c>
      <c r="AB76" s="321">
        <f>AB75*-'A1. BASE MODEL INPUTS'!$B$15</f>
        <v>0</v>
      </c>
      <c r="AC76" s="321">
        <f>AC75*-'A1. BASE MODEL INPUTS'!$B$15</f>
        <v>0</v>
      </c>
      <c r="AD76" s="321">
        <f>AD75*-'A1. BASE MODEL INPUTS'!$B$15</f>
        <v>0</v>
      </c>
      <c r="AE76" s="321">
        <f>AE75*-'A1. BASE MODEL INPUTS'!$B$15</f>
        <v>0</v>
      </c>
      <c r="AF76" s="321">
        <f>AF75*-'A1. BASE MODEL INPUTS'!$B$15</f>
        <v>0</v>
      </c>
      <c r="AG76" s="321">
        <f>AG75*-'A1. BASE MODEL INPUTS'!$B$15</f>
        <v>0</v>
      </c>
      <c r="AH76" s="321">
        <f>AH75*-'A1. BASE MODEL INPUTS'!$B$15</f>
        <v>0</v>
      </c>
      <c r="AI76" s="321">
        <f>AI75*-'A1. BASE MODEL INPUTS'!$B$15</f>
        <v>0</v>
      </c>
      <c r="AJ76" s="321">
        <f>AJ75*-'A1. BASE MODEL INPUTS'!$B$15</f>
        <v>0</v>
      </c>
      <c r="AK76" s="321">
        <f>AK75*-'A1. BASE MODEL INPUTS'!$B$15</f>
        <v>0</v>
      </c>
      <c r="AL76" s="318"/>
      <c r="AM76" s="318"/>
      <c r="AN76" s="318"/>
      <c r="AO76" s="318"/>
      <c r="AP76" s="318"/>
      <c r="AQ76" s="318"/>
      <c r="AR76" s="317"/>
      <c r="AS76" s="317"/>
      <c r="AT76" s="317"/>
      <c r="AU76" s="317"/>
      <c r="AV76" s="317"/>
    </row>
    <row r="77" spans="1:48" s="5" customFormat="1" ht="14" customHeight="1">
      <c r="A77" s="265" t="str">
        <f t="shared" si="60"/>
        <v>Customer churn due to payment frictions</v>
      </c>
      <c r="B77" s="326">
        <v>0</v>
      </c>
      <c r="C77" s="316">
        <v>0</v>
      </c>
      <c r="D77" s="316">
        <v>0</v>
      </c>
      <c r="E77" s="316">
        <v>0</v>
      </c>
      <c r="F77" s="316">
        <v>0</v>
      </c>
      <c r="G77" s="316">
        <v>0</v>
      </c>
      <c r="H77" s="316">
        <v>0</v>
      </c>
      <c r="I77" s="316">
        <v>0</v>
      </c>
      <c r="J77" s="316">
        <v>0</v>
      </c>
      <c r="K77" s="316">
        <v>0</v>
      </c>
      <c r="L77" s="316">
        <v>0</v>
      </c>
      <c r="M77" s="316">
        <v>0</v>
      </c>
      <c r="N77" s="316">
        <v>0</v>
      </c>
      <c r="O77" s="316">
        <v>0</v>
      </c>
      <c r="P77" s="316">
        <v>0</v>
      </c>
      <c r="Q77" s="316">
        <v>0</v>
      </c>
      <c r="R77" s="316">
        <v>0</v>
      </c>
      <c r="S77" s="316">
        <v>0</v>
      </c>
      <c r="T77" s="316">
        <v>0</v>
      </c>
      <c r="U77" s="316">
        <v>0</v>
      </c>
      <c r="V77" s="316">
        <v>0</v>
      </c>
      <c r="W77" s="316">
        <v>0</v>
      </c>
      <c r="X77" s="316">
        <v>0</v>
      </c>
      <c r="Y77" s="316">
        <v>0</v>
      </c>
      <c r="Z77" s="316">
        <v>0</v>
      </c>
      <c r="AA77" s="316">
        <v>0</v>
      </c>
      <c r="AB77" s="316">
        <v>0</v>
      </c>
      <c r="AC77" s="316">
        <v>0</v>
      </c>
      <c r="AD77" s="316">
        <v>0</v>
      </c>
      <c r="AE77" s="316">
        <v>0</v>
      </c>
      <c r="AF77" s="316">
        <v>0</v>
      </c>
      <c r="AG77" s="316">
        <v>0</v>
      </c>
      <c r="AH77" s="316">
        <v>0</v>
      </c>
      <c r="AI77" s="316">
        <v>0</v>
      </c>
      <c r="AJ77" s="316">
        <v>0</v>
      </c>
      <c r="AK77" s="316">
        <v>0</v>
      </c>
      <c r="AL77" s="318"/>
      <c r="AM77" s="318"/>
      <c r="AN77" s="318"/>
      <c r="AO77" s="318"/>
      <c r="AP77" s="318"/>
      <c r="AQ77" s="318"/>
      <c r="AR77" s="317"/>
      <c r="AS77" s="317"/>
      <c r="AT77" s="317"/>
      <c r="AU77" s="317"/>
      <c r="AV77" s="317"/>
    </row>
    <row r="78" spans="1:48" s="5" customFormat="1" ht="14" customHeight="1">
      <c r="A78" s="265" t="str">
        <f t="shared" si="60"/>
        <v>Revenue loss from churn due to payment frictions</v>
      </c>
      <c r="B78" s="325">
        <f>B77*'A1. BASE MODEL INPUTS'!$E$14</f>
        <v>0</v>
      </c>
      <c r="C78" s="321">
        <f>C77*'A1. BASE MODEL INPUTS'!$E$14</f>
        <v>0</v>
      </c>
      <c r="D78" s="321">
        <f>D77*'A1. BASE MODEL INPUTS'!$E$14</f>
        <v>0</v>
      </c>
      <c r="E78" s="321">
        <f>E77*'A1. BASE MODEL INPUTS'!$E$14</f>
        <v>0</v>
      </c>
      <c r="F78" s="321">
        <f>F77*'A1. BASE MODEL INPUTS'!$E$14</f>
        <v>0</v>
      </c>
      <c r="G78" s="321">
        <f>G77*'A1. BASE MODEL INPUTS'!$E$14</f>
        <v>0</v>
      </c>
      <c r="H78" s="321">
        <f>H77*'A1. BASE MODEL INPUTS'!$E$14</f>
        <v>0</v>
      </c>
      <c r="I78" s="321">
        <f>I77*'A1. BASE MODEL INPUTS'!$E$14</f>
        <v>0</v>
      </c>
      <c r="J78" s="321">
        <f>J77*'A1. BASE MODEL INPUTS'!$E$14</f>
        <v>0</v>
      </c>
      <c r="K78" s="321">
        <f>K77*'A1. BASE MODEL INPUTS'!$E$14</f>
        <v>0</v>
      </c>
      <c r="L78" s="321">
        <f>L77*'A1. BASE MODEL INPUTS'!$E$14</f>
        <v>0</v>
      </c>
      <c r="M78" s="321">
        <f>M77*'A1. BASE MODEL INPUTS'!$E$14</f>
        <v>0</v>
      </c>
      <c r="N78" s="321">
        <f>N77*'A1. BASE MODEL INPUTS'!$E$14</f>
        <v>0</v>
      </c>
      <c r="O78" s="321">
        <f>O77*'A1. BASE MODEL INPUTS'!$E$14</f>
        <v>0</v>
      </c>
      <c r="P78" s="321">
        <f>P77*'A1. BASE MODEL INPUTS'!$E$14</f>
        <v>0</v>
      </c>
      <c r="Q78" s="321">
        <f>Q77*'A1. BASE MODEL INPUTS'!$E$14</f>
        <v>0</v>
      </c>
      <c r="R78" s="321">
        <f>R77*'A1. BASE MODEL INPUTS'!$E$14</f>
        <v>0</v>
      </c>
      <c r="S78" s="321">
        <f>S77*'A1. BASE MODEL INPUTS'!$E$14</f>
        <v>0</v>
      </c>
      <c r="T78" s="321">
        <f>T77*'A1. BASE MODEL INPUTS'!$E$14</f>
        <v>0</v>
      </c>
      <c r="U78" s="321">
        <f>U77*'A1. BASE MODEL INPUTS'!$E$14</f>
        <v>0</v>
      </c>
      <c r="V78" s="321">
        <f>V77*'A1. BASE MODEL INPUTS'!$E$14</f>
        <v>0</v>
      </c>
      <c r="W78" s="321">
        <f>W77*'A1. BASE MODEL INPUTS'!$E$14</f>
        <v>0</v>
      </c>
      <c r="X78" s="321">
        <f>X77*'A1. BASE MODEL INPUTS'!$E$14</f>
        <v>0</v>
      </c>
      <c r="Y78" s="321">
        <f>Y77*'A1. BASE MODEL INPUTS'!$E$14</f>
        <v>0</v>
      </c>
      <c r="Z78" s="321">
        <f>Z77*'A1. BASE MODEL INPUTS'!$E$14</f>
        <v>0</v>
      </c>
      <c r="AA78" s="321">
        <f>AA77*'A1. BASE MODEL INPUTS'!$E$14</f>
        <v>0</v>
      </c>
      <c r="AB78" s="321">
        <f>AB77*'A1. BASE MODEL INPUTS'!$E$14</f>
        <v>0</v>
      </c>
      <c r="AC78" s="321">
        <f>AC77*'A1. BASE MODEL INPUTS'!$E$14</f>
        <v>0</v>
      </c>
      <c r="AD78" s="321">
        <f>AD77*'A1. BASE MODEL INPUTS'!$E$14</f>
        <v>0</v>
      </c>
      <c r="AE78" s="321">
        <f>AE77*'A1. BASE MODEL INPUTS'!$E$14</f>
        <v>0</v>
      </c>
      <c r="AF78" s="321">
        <f>AF77*'A1. BASE MODEL INPUTS'!$E$14</f>
        <v>0</v>
      </c>
      <c r="AG78" s="321">
        <f>AG77*'A1. BASE MODEL INPUTS'!$E$14</f>
        <v>0</v>
      </c>
      <c r="AH78" s="321">
        <f>AH77*'A1. BASE MODEL INPUTS'!$E$14</f>
        <v>0</v>
      </c>
      <c r="AI78" s="321">
        <f>AI77*'A1. BASE MODEL INPUTS'!$E$14</f>
        <v>0</v>
      </c>
      <c r="AJ78" s="321">
        <f>AJ77*'A1. BASE MODEL INPUTS'!$E$14</f>
        <v>0</v>
      </c>
      <c r="AK78" s="321">
        <f>AK77*'A1. BASE MODEL INPUTS'!$E$14</f>
        <v>0</v>
      </c>
      <c r="AL78" s="318"/>
      <c r="AM78" s="318"/>
      <c r="AN78" s="318"/>
      <c r="AO78" s="318"/>
      <c r="AP78" s="318"/>
      <c r="AQ78" s="318"/>
      <c r="AR78" s="317"/>
      <c r="AS78" s="317"/>
      <c r="AT78" s="317"/>
      <c r="AU78" s="317"/>
      <c r="AV78" s="317"/>
    </row>
    <row r="79" spans="1:48" s="292" customFormat="1" ht="14" customHeight="1">
      <c r="A79" s="290" t="str">
        <f t="shared" si="60"/>
        <v>Total revenue loss due to payment frictions</v>
      </c>
      <c r="B79" s="327">
        <f t="shared" ref="B79:AK79" si="61">B76+B78</f>
        <v>0</v>
      </c>
      <c r="C79" s="323">
        <f t="shared" si="61"/>
        <v>0</v>
      </c>
      <c r="D79" s="323">
        <f t="shared" si="61"/>
        <v>0</v>
      </c>
      <c r="E79" s="323">
        <f t="shared" si="61"/>
        <v>0</v>
      </c>
      <c r="F79" s="323">
        <f t="shared" si="61"/>
        <v>0</v>
      </c>
      <c r="G79" s="323">
        <f t="shared" si="61"/>
        <v>0</v>
      </c>
      <c r="H79" s="323">
        <f t="shared" si="61"/>
        <v>0</v>
      </c>
      <c r="I79" s="323">
        <f t="shared" si="61"/>
        <v>0</v>
      </c>
      <c r="J79" s="323">
        <f t="shared" si="61"/>
        <v>0</v>
      </c>
      <c r="K79" s="323">
        <f t="shared" si="61"/>
        <v>0</v>
      </c>
      <c r="L79" s="323">
        <f t="shared" si="61"/>
        <v>0</v>
      </c>
      <c r="M79" s="323">
        <f t="shared" si="61"/>
        <v>0</v>
      </c>
      <c r="N79" s="323">
        <f t="shared" si="61"/>
        <v>0</v>
      </c>
      <c r="O79" s="323">
        <f t="shared" si="61"/>
        <v>0</v>
      </c>
      <c r="P79" s="323">
        <f t="shared" si="61"/>
        <v>0</v>
      </c>
      <c r="Q79" s="323">
        <f t="shared" si="61"/>
        <v>0</v>
      </c>
      <c r="R79" s="323">
        <f t="shared" si="61"/>
        <v>0</v>
      </c>
      <c r="S79" s="323">
        <f t="shared" si="61"/>
        <v>0</v>
      </c>
      <c r="T79" s="323">
        <f t="shared" si="61"/>
        <v>0</v>
      </c>
      <c r="U79" s="323">
        <f t="shared" si="61"/>
        <v>0</v>
      </c>
      <c r="V79" s="323">
        <f t="shared" si="61"/>
        <v>0</v>
      </c>
      <c r="W79" s="323">
        <f t="shared" si="61"/>
        <v>0</v>
      </c>
      <c r="X79" s="323">
        <f t="shared" si="61"/>
        <v>0</v>
      </c>
      <c r="Y79" s="323">
        <f t="shared" si="61"/>
        <v>0</v>
      </c>
      <c r="Z79" s="323">
        <f t="shared" si="61"/>
        <v>0</v>
      </c>
      <c r="AA79" s="323">
        <f t="shared" si="61"/>
        <v>0</v>
      </c>
      <c r="AB79" s="323">
        <f t="shared" si="61"/>
        <v>0</v>
      </c>
      <c r="AC79" s="323">
        <f t="shared" si="61"/>
        <v>0</v>
      </c>
      <c r="AD79" s="323">
        <f t="shared" si="61"/>
        <v>0</v>
      </c>
      <c r="AE79" s="323">
        <f t="shared" si="61"/>
        <v>0</v>
      </c>
      <c r="AF79" s="323">
        <f t="shared" si="61"/>
        <v>0</v>
      </c>
      <c r="AG79" s="323">
        <f t="shared" si="61"/>
        <v>0</v>
      </c>
      <c r="AH79" s="323">
        <f t="shared" si="61"/>
        <v>0</v>
      </c>
      <c r="AI79" s="323">
        <f t="shared" si="61"/>
        <v>0</v>
      </c>
      <c r="AJ79" s="323">
        <f t="shared" si="61"/>
        <v>0</v>
      </c>
      <c r="AK79" s="323">
        <f t="shared" si="61"/>
        <v>0</v>
      </c>
      <c r="AL79" s="328"/>
      <c r="AM79" s="328"/>
      <c r="AN79" s="328"/>
      <c r="AO79" s="328"/>
      <c r="AP79" s="328"/>
      <c r="AQ79" s="328"/>
      <c r="AR79" s="322"/>
      <c r="AS79" s="322"/>
      <c r="AT79" s="322"/>
      <c r="AU79" s="322"/>
      <c r="AV79" s="322"/>
    </row>
    <row r="80" spans="1:48" s="148" customFormat="1" ht="14" customHeight="1">
      <c r="A80" s="269"/>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row>
    <row r="81" spans="1:37" s="5" customFormat="1" ht="14" customHeight="1">
      <c r="A81" s="294" t="s">
        <v>174</v>
      </c>
      <c r="B81" s="295"/>
      <c r="C81" s="295"/>
      <c r="D81" s="295"/>
      <c r="E81" s="295"/>
      <c r="F81" s="295"/>
      <c r="G81" s="295"/>
      <c r="H81" s="295"/>
      <c r="I81" s="295"/>
      <c r="J81" s="295"/>
      <c r="K81" s="295"/>
      <c r="L81" s="295"/>
      <c r="M81" s="295"/>
      <c r="N81" s="295"/>
      <c r="O81" s="295"/>
      <c r="P81" s="295"/>
      <c r="Q81" s="295"/>
      <c r="R81" s="295"/>
      <c r="S81" s="295"/>
      <c r="T81" s="295"/>
      <c r="U81" s="295"/>
      <c r="V81" s="295"/>
      <c r="W81" s="295"/>
      <c r="X81" s="295"/>
      <c r="Y81" s="295"/>
      <c r="Z81" s="295"/>
      <c r="AA81" s="295"/>
      <c r="AB81" s="295"/>
      <c r="AC81" s="295"/>
      <c r="AD81" s="295"/>
      <c r="AE81" s="295"/>
      <c r="AF81" s="295"/>
      <c r="AG81" s="295"/>
      <c r="AH81" s="295"/>
      <c r="AI81" s="295"/>
      <c r="AJ81" s="295"/>
      <c r="AK81" s="295"/>
    </row>
    <row r="82" spans="1:37" s="5" customFormat="1" ht="14" customHeight="1">
      <c r="A82" s="270" t="str">
        <f>A32</f>
        <v>Number of churned customers, due to non-payment reasons</v>
      </c>
      <c r="B82" s="149">
        <f>'A1. BASE MODEL INPUTS'!$E$12*B65</f>
        <v>520</v>
      </c>
      <c r="C82" s="149">
        <f>'A1. BASE MODEL INPUTS'!$E$12*C65</f>
        <v>541.58000000000004</v>
      </c>
      <c r="D82" s="149">
        <f>'A1. BASE MODEL INPUTS'!$E$12*D65</f>
        <v>564.05556999999999</v>
      </c>
      <c r="E82" s="149">
        <f>'A1. BASE MODEL INPUTS'!$E$12*E65</f>
        <v>587.46387615500009</v>
      </c>
      <c r="F82" s="149">
        <f>'A1. BASE MODEL INPUTS'!$E$12*F65</f>
        <v>611.8436270154325</v>
      </c>
      <c r="G82" s="149">
        <f>'A1. BASE MODEL INPUTS'!$E$12*G65</f>
        <v>637.23513753657301</v>
      </c>
      <c r="H82" s="149">
        <f>'A1. BASE MODEL INPUTS'!$E$12*H65</f>
        <v>663.68039574434079</v>
      </c>
      <c r="I82" s="149">
        <f>'A1. BASE MODEL INPUTS'!$E$12*I65</f>
        <v>691.22313216773091</v>
      </c>
      <c r="J82" s="149">
        <f>'A1. BASE MODEL INPUTS'!$E$12*J65</f>
        <v>719.90889215269181</v>
      </c>
      <c r="K82" s="149">
        <f>'A1. BASE MODEL INPUTS'!$E$12*K65</f>
        <v>749.78511117702863</v>
      </c>
      <c r="L82" s="149">
        <f>'A1. BASE MODEL INPUTS'!$E$12*L65</f>
        <v>780.9011932908752</v>
      </c>
      <c r="M82" s="149">
        <f>'A1. BASE MODEL INPUTS'!$E$12*M65</f>
        <v>813.30859281244659</v>
      </c>
      <c r="N82" s="149">
        <f>'A1. BASE MODEL INPUTS'!$E$12*N65</f>
        <v>847.06089941416315</v>
      </c>
      <c r="O82" s="149">
        <f>'A1. BASE MODEL INPUTS'!$E$12*O65</f>
        <v>882.21392673985088</v>
      </c>
      <c r="P82" s="149">
        <f>'A1. BASE MODEL INPUTS'!$E$12*P65</f>
        <v>918.82580469955474</v>
      </c>
      <c r="Q82" s="149">
        <f>'A1. BASE MODEL INPUTS'!$E$12*Q65</f>
        <v>956.95707559458617</v>
      </c>
      <c r="R82" s="149">
        <f>'A1. BASE MODEL INPUTS'!$E$12*R65</f>
        <v>996.67079423176153</v>
      </c>
      <c r="S82" s="149">
        <f>'A1. BASE MODEL INPUTS'!$E$12*S65</f>
        <v>1038.0326321923797</v>
      </c>
      <c r="T82" s="149">
        <f>'A1. BASE MODEL INPUTS'!$E$12*T65</f>
        <v>1081.1109864283635</v>
      </c>
      <c r="U82" s="149">
        <f>'A1. BASE MODEL INPUTS'!$E$12*U65</f>
        <v>1125.9770923651404</v>
      </c>
      <c r="V82" s="149">
        <f>'A1. BASE MODEL INPUTS'!$E$12*V65</f>
        <v>1172.7051416982938</v>
      </c>
      <c r="W82" s="149">
        <f>'A1. BASE MODEL INPUTS'!$E$12*W65</f>
        <v>1221.372405078773</v>
      </c>
      <c r="X82" s="149">
        <f>'A1. BASE MODEL INPUTS'!$E$12*X65</f>
        <v>1272.0593598895421</v>
      </c>
      <c r="Y82" s="149">
        <f>'A1. BASE MODEL INPUTS'!$E$12*Y65</f>
        <v>1324.8498233249584</v>
      </c>
      <c r="Z82" s="149">
        <f>'A1. BASE MODEL INPUTS'!$E$12*Z65</f>
        <v>1379.8310909929439</v>
      </c>
      <c r="AA82" s="149">
        <f>'A1. BASE MODEL INPUTS'!$E$12*AA65</f>
        <v>1437.0940812691508</v>
      </c>
      <c r="AB82" s="149">
        <f>'A1. BASE MODEL INPUTS'!$E$12*AB65</f>
        <v>1496.7334856418206</v>
      </c>
      <c r="AC82" s="149">
        <f>'A1. BASE MODEL INPUTS'!$E$12*AC65</f>
        <v>1558.8479252959562</v>
      </c>
      <c r="AD82" s="149">
        <f>'A1. BASE MODEL INPUTS'!$E$12*AD65</f>
        <v>1623.5401141957384</v>
      </c>
      <c r="AE82" s="149">
        <f>'A1. BASE MODEL INPUTS'!$E$12*AE65</f>
        <v>1690.9170289348617</v>
      </c>
      <c r="AF82" s="149">
        <f>'A1. BASE MODEL INPUTS'!$E$12*AF65</f>
        <v>1761.0900856356582</v>
      </c>
      <c r="AG82" s="149">
        <f>'A1. BASE MODEL INPUTS'!$E$12*AG65</f>
        <v>1834.1753241895381</v>
      </c>
      <c r="AH82" s="149">
        <f>'A1. BASE MODEL INPUTS'!$E$12*AH65</f>
        <v>1910.2936001434041</v>
      </c>
      <c r="AI82" s="149">
        <f>'A1. BASE MODEL INPUTS'!$E$12*AI65</f>
        <v>1989.5707845493555</v>
      </c>
      <c r="AJ82" s="149">
        <f>'A1. BASE MODEL INPUTS'!$E$12*AJ65</f>
        <v>2072.1379721081539</v>
      </c>
      <c r="AK82" s="149">
        <f>'A1. BASE MODEL INPUTS'!$E$12*AK65</f>
        <v>2158.1316979506423</v>
      </c>
    </row>
    <row r="83" spans="1:37" s="292" customFormat="1" ht="14" customHeight="1">
      <c r="A83" s="290" t="str">
        <f>A33</f>
        <v>Total revenue loss from churn due to non-payment reasons</v>
      </c>
      <c r="B83" s="291">
        <f>-B82*'A1. BASE MODEL INPUTS'!$E$14</f>
        <v>-39000</v>
      </c>
      <c r="C83" s="291">
        <f>-C82*'A1. BASE MODEL INPUTS'!$E$14</f>
        <v>-40618.5</v>
      </c>
      <c r="D83" s="291">
        <f>-D82*'A1. BASE MODEL INPUTS'!$E$14</f>
        <v>-42304.167750000001</v>
      </c>
      <c r="E83" s="291">
        <f>-E82*'A1. BASE MODEL INPUTS'!$E$14</f>
        <v>-44059.790711625006</v>
      </c>
      <c r="F83" s="291">
        <f>-F82*'A1. BASE MODEL INPUTS'!$E$14</f>
        <v>-45888.272026157436</v>
      </c>
      <c r="G83" s="291">
        <f>-G82*'A1. BASE MODEL INPUTS'!$E$14</f>
        <v>-47792.635315242973</v>
      </c>
      <c r="H83" s="291">
        <f>-H82*'A1. BASE MODEL INPUTS'!$E$14</f>
        <v>-49776.029680825559</v>
      </c>
      <c r="I83" s="291">
        <f>-I82*'A1. BASE MODEL INPUTS'!$E$14</f>
        <v>-51841.734912579821</v>
      </c>
      <c r="J83" s="291">
        <f>-J82*'A1. BASE MODEL INPUTS'!$E$14</f>
        <v>-53993.166911451888</v>
      </c>
      <c r="K83" s="291">
        <f>-K82*'A1. BASE MODEL INPUTS'!$E$14</f>
        <v>-56233.883338277148</v>
      </c>
      <c r="L83" s="291">
        <f>-L82*'A1. BASE MODEL INPUTS'!$E$14</f>
        <v>-58567.589496815643</v>
      </c>
      <c r="M83" s="291">
        <f>-M82*'A1. BASE MODEL INPUTS'!$E$14</f>
        <v>-60998.144460933494</v>
      </c>
      <c r="N83" s="291">
        <f>-N82*'A1. BASE MODEL INPUTS'!$E$14</f>
        <v>-63529.567456062236</v>
      </c>
      <c r="O83" s="291">
        <f>-O82*'A1. BASE MODEL INPUTS'!$E$14</f>
        <v>-66166.044505488811</v>
      </c>
      <c r="P83" s="291">
        <f>-P82*'A1. BASE MODEL INPUTS'!$E$14</f>
        <v>-68911.935352466608</v>
      </c>
      <c r="Q83" s="291">
        <f>-Q82*'A1. BASE MODEL INPUTS'!$E$14</f>
        <v>-71771.780669593965</v>
      </c>
      <c r="R83" s="291">
        <f>-R82*'A1. BASE MODEL INPUTS'!$E$14</f>
        <v>-74750.309567382108</v>
      </c>
      <c r="S83" s="291">
        <f>-S82*'A1. BASE MODEL INPUTS'!$E$14</f>
        <v>-77852.447414428476</v>
      </c>
      <c r="T83" s="291">
        <f>-T82*'A1. BASE MODEL INPUTS'!$E$14</f>
        <v>-81083.323982127258</v>
      </c>
      <c r="U83" s="291">
        <f>-U82*'A1. BASE MODEL INPUTS'!$E$14</f>
        <v>-84448.281927385528</v>
      </c>
      <c r="V83" s="291">
        <f>-V82*'A1. BASE MODEL INPUTS'!$E$14</f>
        <v>-87952.88562737203</v>
      </c>
      <c r="W83" s="291">
        <f>-W82*'A1. BASE MODEL INPUTS'!$E$14</f>
        <v>-91602.930380907972</v>
      </c>
      <c r="X83" s="291">
        <f>-X82*'A1. BASE MODEL INPUTS'!$E$14</f>
        <v>-95404.451991715658</v>
      </c>
      <c r="Y83" s="291">
        <f>-Y82*'A1. BASE MODEL INPUTS'!$E$14</f>
        <v>-99363.736749371878</v>
      </c>
      <c r="Z83" s="291">
        <f>-Z82*'A1. BASE MODEL INPUTS'!$E$14</f>
        <v>-103487.33182447079</v>
      </c>
      <c r="AA83" s="291">
        <f>-AA82*'A1. BASE MODEL INPUTS'!$E$14</f>
        <v>-107782.05609518632</v>
      </c>
      <c r="AB83" s="291">
        <f>-AB82*'A1. BASE MODEL INPUTS'!$E$14</f>
        <v>-112255.01142313654</v>
      </c>
      <c r="AC83" s="291">
        <f>-AC82*'A1. BASE MODEL INPUTS'!$E$14</f>
        <v>-116913.59439719672</v>
      </c>
      <c r="AD83" s="291">
        <f>-AD82*'A1. BASE MODEL INPUTS'!$E$14</f>
        <v>-121765.50856468038</v>
      </c>
      <c r="AE83" s="291">
        <f>-AE82*'A1. BASE MODEL INPUTS'!$E$14</f>
        <v>-126818.77717011463</v>
      </c>
      <c r="AF83" s="291">
        <f>-AF82*'A1. BASE MODEL INPUTS'!$E$14</f>
        <v>-132081.75642267437</v>
      </c>
      <c r="AG83" s="291">
        <f>-AG82*'A1. BASE MODEL INPUTS'!$E$14</f>
        <v>-137563.14931421535</v>
      </c>
      <c r="AH83" s="291">
        <f>-AH82*'A1. BASE MODEL INPUTS'!$E$14</f>
        <v>-143272.02001075531</v>
      </c>
      <c r="AI83" s="291">
        <f>-AI82*'A1. BASE MODEL INPUTS'!$E$14</f>
        <v>-149217.80884120165</v>
      </c>
      <c r="AJ83" s="291">
        <f>-AJ82*'A1. BASE MODEL INPUTS'!$E$14</f>
        <v>-155410.34790811155</v>
      </c>
      <c r="AK83" s="291">
        <f>-AK82*'A1. BASE MODEL INPUTS'!$E$14</f>
        <v>-161859.87734629816</v>
      </c>
    </row>
    <row r="84" spans="1:37" s="292" customFormat="1" ht="14" customHeight="1">
      <c r="A84" s="290"/>
      <c r="B84" s="291"/>
      <c r="C84" s="291"/>
      <c r="D84" s="291"/>
      <c r="E84" s="291"/>
      <c r="F84" s="291"/>
      <c r="G84" s="291"/>
      <c r="H84" s="291"/>
      <c r="I84" s="291"/>
      <c r="J84" s="291"/>
      <c r="K84" s="291"/>
      <c r="L84" s="291"/>
      <c r="M84" s="291"/>
      <c r="N84" s="291"/>
      <c r="O84" s="291"/>
      <c r="P84" s="291"/>
      <c r="Q84" s="291"/>
      <c r="R84" s="291"/>
      <c r="S84" s="291"/>
      <c r="T84" s="291"/>
      <c r="U84" s="291"/>
      <c r="V84" s="291"/>
      <c r="W84" s="291"/>
      <c r="X84" s="291"/>
      <c r="Y84" s="291"/>
      <c r="Z84" s="291"/>
      <c r="AA84" s="291"/>
      <c r="AB84" s="291"/>
      <c r="AC84" s="291"/>
      <c r="AD84" s="291"/>
      <c r="AE84" s="291"/>
      <c r="AF84" s="291"/>
      <c r="AG84" s="291"/>
      <c r="AH84" s="291"/>
      <c r="AI84" s="291"/>
      <c r="AJ84" s="291"/>
      <c r="AK84" s="291"/>
    </row>
    <row r="85" spans="1:37" s="5" customFormat="1" ht="14" customHeight="1">
      <c r="A85" s="294" t="s">
        <v>181</v>
      </c>
      <c r="B85" s="295"/>
      <c r="C85" s="295"/>
      <c r="D85" s="295"/>
      <c r="E85" s="295"/>
      <c r="F85" s="295"/>
      <c r="G85" s="295"/>
      <c r="H85" s="295"/>
      <c r="I85" s="295"/>
      <c r="J85" s="295"/>
      <c r="K85" s="295"/>
      <c r="L85" s="295"/>
      <c r="M85" s="295"/>
      <c r="N85" s="295"/>
      <c r="O85" s="295"/>
      <c r="P85" s="295"/>
      <c r="Q85" s="295"/>
      <c r="R85" s="295"/>
      <c r="S85" s="295"/>
      <c r="T85" s="295"/>
      <c r="U85" s="295"/>
      <c r="V85" s="295"/>
      <c r="W85" s="295"/>
      <c r="X85" s="295"/>
      <c r="Y85" s="295"/>
      <c r="Z85" s="295"/>
      <c r="AA85" s="295"/>
      <c r="AB85" s="295"/>
      <c r="AC85" s="295"/>
      <c r="AD85" s="295"/>
      <c r="AE85" s="295"/>
      <c r="AF85" s="295"/>
      <c r="AG85" s="295"/>
      <c r="AH85" s="295"/>
      <c r="AI85" s="295"/>
      <c r="AJ85" s="295"/>
      <c r="AK85" s="295"/>
    </row>
    <row r="86" spans="1:37" s="292" customFormat="1" ht="14" customHeight="1">
      <c r="A86" s="296" t="s">
        <v>201</v>
      </c>
      <c r="B86" s="291">
        <f t="shared" ref="B86:AK86" si="62">B72+B79+B83</f>
        <v>816000</v>
      </c>
      <c r="C86" s="291">
        <f t="shared" si="62"/>
        <v>852091.5</v>
      </c>
      <c r="D86" s="291">
        <f t="shared" si="62"/>
        <v>887453.29724999995</v>
      </c>
      <c r="E86" s="291">
        <f t="shared" si="62"/>
        <v>924282.6090858751</v>
      </c>
      <c r="F86" s="291">
        <f t="shared" si="62"/>
        <v>962640.33736293879</v>
      </c>
      <c r="G86" s="291">
        <f t="shared" si="62"/>
        <v>1002589.9113635009</v>
      </c>
      <c r="H86" s="291">
        <f t="shared" si="62"/>
        <v>1044197.3926850862</v>
      </c>
      <c r="I86" s="291">
        <f t="shared" si="62"/>
        <v>1087531.5844815171</v>
      </c>
      <c r="J86" s="291">
        <f t="shared" si="62"/>
        <v>1132664.1452375003</v>
      </c>
      <c r="K86" s="291">
        <f t="shared" si="62"/>
        <v>1179669.7072648567</v>
      </c>
      <c r="L86" s="291">
        <f t="shared" si="62"/>
        <v>1228626.0001163483</v>
      </c>
      <c r="M86" s="291">
        <f t="shared" si="62"/>
        <v>1279613.9791211765</v>
      </c>
      <c r="N86" s="291">
        <f t="shared" si="62"/>
        <v>1332717.9592547053</v>
      </c>
      <c r="O86" s="291">
        <f t="shared" si="62"/>
        <v>1388025.7545637756</v>
      </c>
      <c r="P86" s="291">
        <f t="shared" si="62"/>
        <v>1445628.8233781725</v>
      </c>
      <c r="Q86" s="291">
        <f t="shared" si="62"/>
        <v>1505622.4195483665</v>
      </c>
      <c r="R86" s="291">
        <f t="shared" si="62"/>
        <v>1568105.7499596239</v>
      </c>
      <c r="S86" s="291">
        <f t="shared" si="62"/>
        <v>1633182.1385829481</v>
      </c>
      <c r="T86" s="291">
        <f t="shared" si="62"/>
        <v>1700959.1973341405</v>
      </c>
      <c r="U86" s="291">
        <f t="shared" si="62"/>
        <v>1771549.0040235072</v>
      </c>
      <c r="V86" s="291">
        <f t="shared" si="62"/>
        <v>1845068.2876904828</v>
      </c>
      <c r="W86" s="291">
        <f t="shared" si="62"/>
        <v>1921638.6216296379</v>
      </c>
      <c r="X86" s="291">
        <f t="shared" si="62"/>
        <v>2001386.6244272678</v>
      </c>
      <c r="Y86" s="291">
        <f t="shared" si="62"/>
        <v>2084444.1693409998</v>
      </c>
      <c r="Z86" s="291">
        <f t="shared" si="62"/>
        <v>2170948.602368651</v>
      </c>
      <c r="AA86" s="291">
        <f t="shared" si="62"/>
        <v>2261042.96936695</v>
      </c>
      <c r="AB86" s="291">
        <f t="shared" si="62"/>
        <v>2354876.2525956784</v>
      </c>
      <c r="AC86" s="291">
        <f t="shared" si="62"/>
        <v>2452603.6170783988</v>
      </c>
      <c r="AD86" s="291">
        <f t="shared" si="62"/>
        <v>2554386.6671871524</v>
      </c>
      <c r="AE86" s="291">
        <f t="shared" si="62"/>
        <v>2660393.713875419</v>
      </c>
      <c r="AF86" s="291">
        <f t="shared" si="62"/>
        <v>2770800.0530012487</v>
      </c>
      <c r="AG86" s="291">
        <f t="shared" si="62"/>
        <v>2885788.255200801</v>
      </c>
      <c r="AH86" s="291">
        <f t="shared" si="62"/>
        <v>3005548.4677916341</v>
      </c>
      <c r="AI86" s="291">
        <f t="shared" si="62"/>
        <v>3130278.7292049876</v>
      </c>
      <c r="AJ86" s="291">
        <f t="shared" si="62"/>
        <v>3260185.2964669946</v>
      </c>
      <c r="AK86" s="291">
        <f t="shared" si="62"/>
        <v>3395482.9862703751</v>
      </c>
    </row>
    <row r="87" spans="1:37" s="292" customFormat="1" ht="14" customHeight="1">
      <c r="A87" s="296"/>
      <c r="B87" s="291"/>
      <c r="C87" s="291"/>
      <c r="D87" s="291"/>
      <c r="E87" s="291"/>
      <c r="F87" s="291"/>
      <c r="G87" s="291"/>
      <c r="H87" s="291"/>
      <c r="I87" s="291"/>
      <c r="J87" s="291"/>
      <c r="K87" s="291"/>
      <c r="L87" s="291"/>
      <c r="M87" s="291"/>
      <c r="N87" s="291"/>
      <c r="O87" s="291"/>
      <c r="P87" s="291"/>
      <c r="Q87" s="291"/>
      <c r="R87" s="291"/>
      <c r="S87" s="291"/>
      <c r="T87" s="291"/>
      <c r="U87" s="291"/>
      <c r="V87" s="291"/>
      <c r="W87" s="291"/>
      <c r="X87" s="291"/>
      <c r="Y87" s="291"/>
      <c r="Z87" s="291"/>
      <c r="AA87" s="291"/>
      <c r="AB87" s="291"/>
      <c r="AC87" s="291"/>
      <c r="AD87" s="291"/>
      <c r="AE87" s="291"/>
      <c r="AF87" s="291"/>
      <c r="AG87" s="291"/>
      <c r="AH87" s="291"/>
      <c r="AI87" s="291"/>
      <c r="AJ87" s="291"/>
      <c r="AK87" s="291"/>
    </row>
    <row r="88" spans="1:37" s="5" customFormat="1" ht="14" customHeight="1" thickBot="1">
      <c r="A88" s="307" t="s">
        <v>176</v>
      </c>
      <c r="B88" s="299"/>
      <c r="C88" s="300"/>
      <c r="D88" s="300"/>
      <c r="E88" s="300"/>
      <c r="F88" s="300"/>
      <c r="G88" s="300"/>
      <c r="H88" s="301"/>
      <c r="I88" s="302"/>
      <c r="J88" s="303"/>
      <c r="K88" s="304"/>
      <c r="L88" s="304"/>
      <c r="M88" s="304"/>
      <c r="N88" s="304"/>
      <c r="O88" s="304"/>
      <c r="P88" s="304"/>
      <c r="Q88" s="304"/>
      <c r="R88" s="304"/>
      <c r="S88" s="304"/>
      <c r="T88" s="304"/>
      <c r="U88" s="304"/>
      <c r="V88" s="304"/>
      <c r="W88" s="304"/>
      <c r="X88" s="304"/>
      <c r="Y88" s="304"/>
      <c r="Z88" s="304"/>
      <c r="AA88" s="304"/>
      <c r="AB88" s="304"/>
      <c r="AC88" s="304"/>
      <c r="AD88" s="304"/>
      <c r="AE88" s="304"/>
      <c r="AF88" s="304"/>
      <c r="AG88" s="304"/>
      <c r="AH88" s="304"/>
      <c r="AI88" s="304"/>
      <c r="AJ88" s="304"/>
      <c r="AK88" s="304"/>
    </row>
    <row r="89" spans="1:37" s="5" customFormat="1" ht="14" customHeight="1">
      <c r="A89" s="294" t="s">
        <v>202</v>
      </c>
      <c r="B89" s="329"/>
      <c r="C89" s="293"/>
      <c r="D89" s="293"/>
      <c r="E89" s="293"/>
      <c r="F89" s="293"/>
      <c r="G89" s="293"/>
      <c r="H89" s="293"/>
      <c r="I89" s="293"/>
      <c r="J89" s="293"/>
      <c r="K89" s="293"/>
      <c r="L89" s="293"/>
      <c r="M89" s="293"/>
      <c r="N89" s="293"/>
      <c r="O89" s="293"/>
      <c r="P89" s="293"/>
      <c r="Q89" s="293"/>
      <c r="R89" s="293"/>
      <c r="S89" s="293"/>
      <c r="T89" s="293"/>
      <c r="U89" s="293"/>
      <c r="V89" s="293"/>
      <c r="W89" s="293"/>
      <c r="X89" s="293"/>
      <c r="Y89" s="293"/>
      <c r="Z89" s="293"/>
      <c r="AA89" s="293"/>
      <c r="AB89" s="293"/>
      <c r="AC89" s="293"/>
      <c r="AD89" s="293"/>
      <c r="AE89" s="293"/>
      <c r="AF89" s="293"/>
      <c r="AG89" s="293"/>
      <c r="AH89" s="293"/>
      <c r="AI89" s="293"/>
      <c r="AJ89" s="293"/>
      <c r="AK89" s="293"/>
    </row>
    <row r="90" spans="1:37" s="5" customFormat="1" ht="14" customHeight="1">
      <c r="A90" s="270" t="str">
        <f>A40</f>
        <v>Total number of calls fielded</v>
      </c>
      <c r="B90" s="16">
        <f>B65*'A1. BASE MODEL INPUTS'!$B$20</f>
        <v>18200</v>
      </c>
      <c r="C90" s="16">
        <f>C65*'A1. BASE MODEL INPUTS'!$B$20</f>
        <v>18955.3</v>
      </c>
      <c r="D90" s="16">
        <f>D65*'A1. BASE MODEL INPUTS'!$B$20</f>
        <v>19741.944949999997</v>
      </c>
      <c r="E90" s="16">
        <f>E65*'A1. BASE MODEL INPUTS'!$B$20</f>
        <v>20561.235665425</v>
      </c>
      <c r="F90" s="16">
        <f>F65*'A1. BASE MODEL INPUTS'!$B$20</f>
        <v>21414.526945540136</v>
      </c>
      <c r="G90" s="16">
        <f>G65*'A1. BASE MODEL INPUTS'!$B$20</f>
        <v>22303.229813780054</v>
      </c>
      <c r="H90" s="16">
        <f>H65*'A1. BASE MODEL INPUTS'!$B$20</f>
        <v>23228.813851051927</v>
      </c>
      <c r="I90" s="16">
        <f>I65*'A1. BASE MODEL INPUTS'!$B$20</f>
        <v>24192.809625870581</v>
      </c>
      <c r="J90" s="16">
        <f>J65*'A1. BASE MODEL INPUTS'!$B$20</f>
        <v>25196.811225344212</v>
      </c>
      <c r="K90" s="16">
        <f>K65*'A1. BASE MODEL INPUTS'!$B$20</f>
        <v>26242.478891195999</v>
      </c>
      <c r="L90" s="16">
        <f>L65*'A1. BASE MODEL INPUTS'!$B$20</f>
        <v>27331.541765180631</v>
      </c>
      <c r="M90" s="16">
        <f>M65*'A1. BASE MODEL INPUTS'!$B$20</f>
        <v>28465.800748435628</v>
      </c>
      <c r="N90" s="16">
        <f>N65*'A1. BASE MODEL INPUTS'!$B$20</f>
        <v>29647.131479495707</v>
      </c>
      <c r="O90" s="16">
        <f>O65*'A1. BASE MODEL INPUTS'!$B$20</f>
        <v>30877.487435894778</v>
      </c>
      <c r="P90" s="16">
        <f>P65*'A1. BASE MODEL INPUTS'!$B$20</f>
        <v>32158.903164484414</v>
      </c>
      <c r="Q90" s="16">
        <f>Q65*'A1. BASE MODEL INPUTS'!$B$20</f>
        <v>33493.497645810516</v>
      </c>
      <c r="R90" s="16">
        <f>R65*'A1. BASE MODEL INPUTS'!$B$20</f>
        <v>34883.477798111649</v>
      </c>
      <c r="S90" s="16">
        <f>S65*'A1. BASE MODEL INPUTS'!$B$20</f>
        <v>36331.142126733284</v>
      </c>
      <c r="T90" s="16">
        <f>T65*'A1. BASE MODEL INPUTS'!$B$20</f>
        <v>37838.884524992718</v>
      </c>
      <c r="U90" s="16">
        <f>U65*'A1. BASE MODEL INPUTS'!$B$20</f>
        <v>39409.198232779912</v>
      </c>
      <c r="V90" s="16">
        <f>V65*'A1. BASE MODEL INPUTS'!$B$20</f>
        <v>41044.679959440276</v>
      </c>
      <c r="W90" s="16">
        <f>W65*'A1. BASE MODEL INPUTS'!$B$20</f>
        <v>42748.03417775705</v>
      </c>
      <c r="X90" s="16">
        <f>X65*'A1. BASE MODEL INPUTS'!$B$20</f>
        <v>44522.077596133968</v>
      </c>
      <c r="Y90" s="16">
        <f>Y65*'A1. BASE MODEL INPUTS'!$B$20</f>
        <v>46369.743816373535</v>
      </c>
      <c r="Z90" s="16">
        <f>Z65*'A1. BASE MODEL INPUTS'!$B$20</f>
        <v>48294.088184753033</v>
      </c>
      <c r="AA90" s="16">
        <f>AA65*'A1. BASE MODEL INPUTS'!$B$20</f>
        <v>50298.292844420277</v>
      </c>
      <c r="AB90" s="16">
        <f>AB65*'A1. BASE MODEL INPUTS'!$B$20</f>
        <v>52385.671997463716</v>
      </c>
      <c r="AC90" s="16">
        <f>AC65*'A1. BASE MODEL INPUTS'!$B$20</f>
        <v>54559.67738535846</v>
      </c>
      <c r="AD90" s="16">
        <f>AD65*'A1. BASE MODEL INPUTS'!$B$20</f>
        <v>56823.903996850837</v>
      </c>
      <c r="AE90" s="16">
        <f>AE65*'A1. BASE MODEL INPUTS'!$B$20</f>
        <v>59182.096012720154</v>
      </c>
      <c r="AF90" s="16">
        <f>AF65*'A1. BASE MODEL INPUTS'!$B$20</f>
        <v>61638.152997248035</v>
      </c>
      <c r="AG90" s="16">
        <f>AG65*'A1. BASE MODEL INPUTS'!$B$20</f>
        <v>64196.13634663383</v>
      </c>
      <c r="AH90" s="16">
        <f>AH65*'A1. BASE MODEL INPUTS'!$B$20</f>
        <v>66860.276005019143</v>
      </c>
      <c r="AI90" s="16">
        <f>AI65*'A1. BASE MODEL INPUTS'!$B$20</f>
        <v>69634.977459227433</v>
      </c>
      <c r="AJ90" s="16">
        <f>AJ65*'A1. BASE MODEL INPUTS'!$B$20</f>
        <v>72524.82902378538</v>
      </c>
      <c r="AK90" s="16">
        <f>AK65*'A1. BASE MODEL INPUTS'!$B$20</f>
        <v>75534.609428272481</v>
      </c>
    </row>
    <row r="91" spans="1:37" s="5" customFormat="1" ht="14" customHeight="1">
      <c r="A91" s="270" t="str">
        <f>A41</f>
        <v>Payment friction calls fielded</v>
      </c>
      <c r="B91" s="330">
        <v>0</v>
      </c>
      <c r="C91" s="330">
        <v>0</v>
      </c>
      <c r="D91" s="330">
        <v>0</v>
      </c>
      <c r="E91" s="330">
        <v>0</v>
      </c>
      <c r="F91" s="330">
        <v>0</v>
      </c>
      <c r="G91" s="330">
        <v>0</v>
      </c>
      <c r="H91" s="330">
        <v>0</v>
      </c>
      <c r="I91" s="330">
        <v>0</v>
      </c>
      <c r="J91" s="330">
        <v>0</v>
      </c>
      <c r="K91" s="330">
        <v>0</v>
      </c>
      <c r="L91" s="330">
        <v>0</v>
      </c>
      <c r="M91" s="330">
        <v>0</v>
      </c>
      <c r="N91" s="330">
        <v>0</v>
      </c>
      <c r="O91" s="330">
        <v>0</v>
      </c>
      <c r="P91" s="330">
        <v>0</v>
      </c>
      <c r="Q91" s="330">
        <v>0</v>
      </c>
      <c r="R91" s="330">
        <v>0</v>
      </c>
      <c r="S91" s="330">
        <v>0</v>
      </c>
      <c r="T91" s="330">
        <v>0</v>
      </c>
      <c r="U91" s="330">
        <v>0</v>
      </c>
      <c r="V91" s="330">
        <v>0</v>
      </c>
      <c r="W91" s="330">
        <v>0</v>
      </c>
      <c r="X91" s="330">
        <v>0</v>
      </c>
      <c r="Y91" s="330">
        <v>0</v>
      </c>
      <c r="Z91" s="330">
        <v>0</v>
      </c>
      <c r="AA91" s="330">
        <v>0</v>
      </c>
      <c r="AB91" s="330">
        <v>0</v>
      </c>
      <c r="AC91" s="330">
        <v>0</v>
      </c>
      <c r="AD91" s="330">
        <v>0</v>
      </c>
      <c r="AE91" s="330">
        <v>0</v>
      </c>
      <c r="AF91" s="330">
        <v>0</v>
      </c>
      <c r="AG91" s="330">
        <v>0</v>
      </c>
      <c r="AH91" s="330">
        <v>0</v>
      </c>
      <c r="AI91" s="330">
        <v>0</v>
      </c>
      <c r="AJ91" s="330">
        <v>0</v>
      </c>
      <c r="AK91" s="330">
        <v>0</v>
      </c>
    </row>
    <row r="92" spans="1:37" s="5" customFormat="1" ht="14" customHeight="1">
      <c r="A92" s="270" t="str">
        <f>A42</f>
        <v>Number of call center reps needed for payment friction calls</v>
      </c>
      <c r="B92" s="331">
        <f>ROUNDUP(B91/'A1. BASE MODEL INPUTS'!$B$22,0)</f>
        <v>0</v>
      </c>
      <c r="C92" s="331">
        <f>ROUNDUP(C91/'A1. BASE MODEL INPUTS'!$B$22,0)</f>
        <v>0</v>
      </c>
      <c r="D92" s="331">
        <f>ROUNDUP(D91/'A1. BASE MODEL INPUTS'!$B$22,0)</f>
        <v>0</v>
      </c>
      <c r="E92" s="331">
        <f>ROUNDUP(E91/'A1. BASE MODEL INPUTS'!$B$22,0)</f>
        <v>0</v>
      </c>
      <c r="F92" s="331">
        <f>ROUNDUP(F91/'A1. BASE MODEL INPUTS'!$B$22,0)</f>
        <v>0</v>
      </c>
      <c r="G92" s="331">
        <f>ROUNDUP(G91/'A1. BASE MODEL INPUTS'!$B$22,0)</f>
        <v>0</v>
      </c>
      <c r="H92" s="331">
        <f>ROUNDUP(H91/'A1. BASE MODEL INPUTS'!$B$22,0)</f>
        <v>0</v>
      </c>
      <c r="I92" s="331">
        <f>ROUNDUP(I91/'A1. BASE MODEL INPUTS'!$B$22,0)</f>
        <v>0</v>
      </c>
      <c r="J92" s="331">
        <f>ROUNDUP(J91/'A1. BASE MODEL INPUTS'!$B$22,0)</f>
        <v>0</v>
      </c>
      <c r="K92" s="331">
        <f>ROUNDUP(K91/'A1. BASE MODEL INPUTS'!$B$22,0)</f>
        <v>0</v>
      </c>
      <c r="L92" s="331">
        <f>ROUNDUP(L91/'A1. BASE MODEL INPUTS'!$B$22,0)</f>
        <v>0</v>
      </c>
      <c r="M92" s="331">
        <f>ROUNDUP(M91/'A1. BASE MODEL INPUTS'!$B$22,0)</f>
        <v>0</v>
      </c>
      <c r="N92" s="331">
        <f>ROUNDUP(N91/'A1. BASE MODEL INPUTS'!$B$22,0)</f>
        <v>0</v>
      </c>
      <c r="O92" s="331">
        <f>ROUNDUP(O91/'A1. BASE MODEL INPUTS'!$B$22,0)</f>
        <v>0</v>
      </c>
      <c r="P92" s="331">
        <f>ROUNDUP(P91/'A1. BASE MODEL INPUTS'!$B$22,0)</f>
        <v>0</v>
      </c>
      <c r="Q92" s="331">
        <f>ROUNDUP(Q91/'A1. BASE MODEL INPUTS'!$B$22,0)</f>
        <v>0</v>
      </c>
      <c r="R92" s="331">
        <f>ROUNDUP(R91/'A1. BASE MODEL INPUTS'!$B$22,0)</f>
        <v>0</v>
      </c>
      <c r="S92" s="331">
        <f>ROUNDUP(S91/'A1. BASE MODEL INPUTS'!$B$22,0)</f>
        <v>0</v>
      </c>
      <c r="T92" s="331">
        <f>ROUNDUP(T91/'A1. BASE MODEL INPUTS'!$B$22,0)</f>
        <v>0</v>
      </c>
      <c r="U92" s="331">
        <f>ROUNDUP(U91/'A1. BASE MODEL INPUTS'!$B$22,0)</f>
        <v>0</v>
      </c>
      <c r="V92" s="331">
        <f>ROUNDUP(V91/'A1. BASE MODEL INPUTS'!$B$22,0)</f>
        <v>0</v>
      </c>
      <c r="W92" s="331">
        <f>ROUNDUP(W91/'A1. BASE MODEL INPUTS'!$B$22,0)</f>
        <v>0</v>
      </c>
      <c r="X92" s="331">
        <f>ROUNDUP(X91/'A1. BASE MODEL INPUTS'!$B$22,0)</f>
        <v>0</v>
      </c>
      <c r="Y92" s="331">
        <f>ROUNDUP(Y91/'A1. BASE MODEL INPUTS'!$B$22,0)</f>
        <v>0</v>
      </c>
      <c r="Z92" s="331">
        <f>ROUNDUP(Z91/'A1. BASE MODEL INPUTS'!$B$22,0)</f>
        <v>0</v>
      </c>
      <c r="AA92" s="331">
        <f>ROUNDUP(AA91/'A1. BASE MODEL INPUTS'!$B$22,0)</f>
        <v>0</v>
      </c>
      <c r="AB92" s="331">
        <f>ROUNDUP(AB91/'A1. BASE MODEL INPUTS'!$B$22,0)</f>
        <v>0</v>
      </c>
      <c r="AC92" s="331">
        <f>ROUNDUP(AC91/'A1. BASE MODEL INPUTS'!$B$22,0)</f>
        <v>0</v>
      </c>
      <c r="AD92" s="331">
        <f>ROUNDUP(AD91/'A1. BASE MODEL INPUTS'!$B$22,0)</f>
        <v>0</v>
      </c>
      <c r="AE92" s="331">
        <f>ROUNDUP(AE91/'A1. BASE MODEL INPUTS'!$B$22,0)</f>
        <v>0</v>
      </c>
      <c r="AF92" s="331">
        <f>ROUNDUP(AF91/'A1. BASE MODEL INPUTS'!$B$22,0)</f>
        <v>0</v>
      </c>
      <c r="AG92" s="331">
        <f>ROUNDUP(AG91/'A1. BASE MODEL INPUTS'!$B$22,0)</f>
        <v>0</v>
      </c>
      <c r="AH92" s="331">
        <f>ROUNDUP(AH91/'A1. BASE MODEL INPUTS'!$B$22,0)</f>
        <v>0</v>
      </c>
      <c r="AI92" s="331">
        <f>ROUNDUP(AI91/'A1. BASE MODEL INPUTS'!$B$22,0)</f>
        <v>0</v>
      </c>
      <c r="AJ92" s="331">
        <f>ROUNDUP(AJ91/'A1. BASE MODEL INPUTS'!$B$22,0)</f>
        <v>0</v>
      </c>
      <c r="AK92" s="331">
        <f>ROUNDUP(AK91/'A1. BASE MODEL INPUTS'!$B$22,0)</f>
        <v>0</v>
      </c>
    </row>
    <row r="93" spans="1:37" s="292" customFormat="1" ht="14" customHeight="1">
      <c r="A93" s="290" t="str">
        <f>A43</f>
        <v>Call center costs to handle payment friction calls</v>
      </c>
      <c r="B93" s="332">
        <f>-B92*'A1. BASE MODEL INPUTS'!$B$23</f>
        <v>0</v>
      </c>
      <c r="C93" s="332">
        <f>-C92*'A1. BASE MODEL INPUTS'!$B$23</f>
        <v>0</v>
      </c>
      <c r="D93" s="332">
        <f>-D92*'A1. BASE MODEL INPUTS'!$B$23</f>
        <v>0</v>
      </c>
      <c r="E93" s="332">
        <f>-E92*'A1. BASE MODEL INPUTS'!$B$23</f>
        <v>0</v>
      </c>
      <c r="F93" s="332">
        <f>-F92*'A1. BASE MODEL INPUTS'!$B$23</f>
        <v>0</v>
      </c>
      <c r="G93" s="332">
        <f>-G92*'A1. BASE MODEL INPUTS'!$B$23</f>
        <v>0</v>
      </c>
      <c r="H93" s="332">
        <f>-H92*'A1. BASE MODEL INPUTS'!$B$23</f>
        <v>0</v>
      </c>
      <c r="I93" s="332">
        <f>-I92*'A1. BASE MODEL INPUTS'!$B$23</f>
        <v>0</v>
      </c>
      <c r="J93" s="332">
        <f>-J92*'A1. BASE MODEL INPUTS'!$B$23</f>
        <v>0</v>
      </c>
      <c r="K93" s="332">
        <f>-K92*'A1. BASE MODEL INPUTS'!$B$23</f>
        <v>0</v>
      </c>
      <c r="L93" s="332">
        <f>-L92*'A1. BASE MODEL INPUTS'!$B$23</f>
        <v>0</v>
      </c>
      <c r="M93" s="332">
        <f>-M92*'A1. BASE MODEL INPUTS'!$B$23</f>
        <v>0</v>
      </c>
      <c r="N93" s="332">
        <f>-N92*'A1. BASE MODEL INPUTS'!$B$23</f>
        <v>0</v>
      </c>
      <c r="O93" s="332">
        <f>-O92*'A1. BASE MODEL INPUTS'!$B$23</f>
        <v>0</v>
      </c>
      <c r="P93" s="332">
        <f>-P92*'A1. BASE MODEL INPUTS'!$B$23</f>
        <v>0</v>
      </c>
      <c r="Q93" s="332">
        <f>-Q92*'A1. BASE MODEL INPUTS'!$B$23</f>
        <v>0</v>
      </c>
      <c r="R93" s="332">
        <f>-R92*'A1. BASE MODEL INPUTS'!$B$23</f>
        <v>0</v>
      </c>
      <c r="S93" s="332">
        <f>-S92*'A1. BASE MODEL INPUTS'!$B$23</f>
        <v>0</v>
      </c>
      <c r="T93" s="332">
        <f>-T92*'A1. BASE MODEL INPUTS'!$B$23</f>
        <v>0</v>
      </c>
      <c r="U93" s="332">
        <f>-U92*'A1. BASE MODEL INPUTS'!$B$23</f>
        <v>0</v>
      </c>
      <c r="V93" s="332">
        <f>-V92*'A1. BASE MODEL INPUTS'!$B$23</f>
        <v>0</v>
      </c>
      <c r="W93" s="332">
        <f>-W92*'A1. BASE MODEL INPUTS'!$B$23</f>
        <v>0</v>
      </c>
      <c r="X93" s="332">
        <f>-X92*'A1. BASE MODEL INPUTS'!$B$23</f>
        <v>0</v>
      </c>
      <c r="Y93" s="332">
        <f>-Y92*'A1. BASE MODEL INPUTS'!$B$23</f>
        <v>0</v>
      </c>
      <c r="Z93" s="332">
        <f>-Z92*'A1. BASE MODEL INPUTS'!$B$23</f>
        <v>0</v>
      </c>
      <c r="AA93" s="332">
        <f>-AA92*'A1. BASE MODEL INPUTS'!$B$23</f>
        <v>0</v>
      </c>
      <c r="AB93" s="332">
        <f>-AB92*'A1. BASE MODEL INPUTS'!$B$23</f>
        <v>0</v>
      </c>
      <c r="AC93" s="332">
        <f>-AC92*'A1. BASE MODEL INPUTS'!$B$23</f>
        <v>0</v>
      </c>
      <c r="AD93" s="332">
        <f>-AD92*'A1. BASE MODEL INPUTS'!$B$23</f>
        <v>0</v>
      </c>
      <c r="AE93" s="332">
        <f>-AE92*'A1. BASE MODEL INPUTS'!$B$23</f>
        <v>0</v>
      </c>
      <c r="AF93" s="332">
        <f>-AF92*'A1. BASE MODEL INPUTS'!$B$23</f>
        <v>0</v>
      </c>
      <c r="AG93" s="332">
        <f>-AG92*'A1. BASE MODEL INPUTS'!$B$23</f>
        <v>0</v>
      </c>
      <c r="AH93" s="332">
        <f>-AH92*'A1. BASE MODEL INPUTS'!$B$23</f>
        <v>0</v>
      </c>
      <c r="AI93" s="332">
        <f>-AI92*'A1. BASE MODEL INPUTS'!$B$23</f>
        <v>0</v>
      </c>
      <c r="AJ93" s="332">
        <f>-AJ92*'A1. BASE MODEL INPUTS'!$B$23</f>
        <v>0</v>
      </c>
      <c r="AK93" s="332">
        <f>-AK92*'A1. BASE MODEL INPUTS'!$B$23</f>
        <v>0</v>
      </c>
    </row>
    <row r="94" spans="1:37" s="5" customFormat="1" ht="14" customHeight="1">
      <c r="A94" s="273"/>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row>
    <row r="95" spans="1:37" s="5" customFormat="1" ht="14" customHeight="1">
      <c r="A95" s="294" t="s">
        <v>158</v>
      </c>
      <c r="B95" s="295"/>
      <c r="C95" s="295"/>
      <c r="D95" s="295"/>
      <c r="E95" s="295"/>
      <c r="F95" s="295"/>
      <c r="G95" s="295"/>
      <c r="H95" s="295"/>
      <c r="I95" s="295"/>
      <c r="J95" s="295"/>
      <c r="K95" s="295"/>
      <c r="L95" s="295"/>
      <c r="M95" s="295"/>
      <c r="N95" s="295"/>
      <c r="O95" s="295"/>
      <c r="P95" s="295"/>
      <c r="Q95" s="295"/>
      <c r="R95" s="295"/>
      <c r="S95" s="295"/>
      <c r="T95" s="295"/>
      <c r="U95" s="295"/>
      <c r="V95" s="295"/>
      <c r="W95" s="295"/>
      <c r="X95" s="295"/>
      <c r="Y95" s="295"/>
      <c r="Z95" s="295"/>
      <c r="AA95" s="295"/>
      <c r="AB95" s="295"/>
      <c r="AC95" s="295"/>
      <c r="AD95" s="295"/>
      <c r="AE95" s="295"/>
      <c r="AF95" s="295"/>
      <c r="AG95" s="295"/>
      <c r="AH95" s="295"/>
      <c r="AI95" s="295"/>
      <c r="AJ95" s="295"/>
      <c r="AK95" s="295"/>
    </row>
    <row r="96" spans="1:37" s="5" customFormat="1" ht="16" customHeight="1">
      <c r="A96" s="275" t="str">
        <f>A50</f>
        <v>Number of expected top-up transactions, non-friction facing</v>
      </c>
      <c r="B96" s="33">
        <f t="shared" ref="B96:AK96" si="63">B70</f>
        <v>104000</v>
      </c>
      <c r="C96" s="33">
        <f t="shared" si="63"/>
        <v>108316</v>
      </c>
      <c r="D96" s="33">
        <f t="shared" si="63"/>
        <v>112811.114</v>
      </c>
      <c r="E96" s="33">
        <f t="shared" si="63"/>
        <v>117492.77523100001</v>
      </c>
      <c r="F96" s="33">
        <f t="shared" si="63"/>
        <v>122368.7254030865</v>
      </c>
      <c r="G96" s="33">
        <f t="shared" si="63"/>
        <v>127447.02750731459</v>
      </c>
      <c r="H96" s="33">
        <f t="shared" si="63"/>
        <v>132736.07914886816</v>
      </c>
      <c r="I96" s="33">
        <f t="shared" si="63"/>
        <v>138244.62643354619</v>
      </c>
      <c r="J96" s="33">
        <f t="shared" si="63"/>
        <v>143981.77843053837</v>
      </c>
      <c r="K96" s="33">
        <f t="shared" si="63"/>
        <v>149957.02223540572</v>
      </c>
      <c r="L96" s="33">
        <f t="shared" si="63"/>
        <v>156180.23865817505</v>
      </c>
      <c r="M96" s="33">
        <f t="shared" si="63"/>
        <v>162661.71856248932</v>
      </c>
      <c r="N96" s="33">
        <f t="shared" si="63"/>
        <v>169412.17988283263</v>
      </c>
      <c r="O96" s="33">
        <f t="shared" si="63"/>
        <v>176442.78534797017</v>
      </c>
      <c r="P96" s="33">
        <f t="shared" si="63"/>
        <v>183765.16093991094</v>
      </c>
      <c r="Q96" s="33">
        <f t="shared" si="63"/>
        <v>191391.41511891724</v>
      </c>
      <c r="R96" s="33">
        <f t="shared" si="63"/>
        <v>199334.15884635231</v>
      </c>
      <c r="S96" s="33">
        <f t="shared" si="63"/>
        <v>207606.52643847594</v>
      </c>
      <c r="T96" s="33">
        <f t="shared" si="63"/>
        <v>216222.19728567268</v>
      </c>
      <c r="U96" s="33">
        <f t="shared" si="63"/>
        <v>225195.41847302808</v>
      </c>
      <c r="V96" s="33">
        <f t="shared" si="63"/>
        <v>234541.02833965875</v>
      </c>
      <c r="W96" s="33">
        <f t="shared" si="63"/>
        <v>244274.4810157546</v>
      </c>
      <c r="X96" s="33">
        <f t="shared" si="63"/>
        <v>254411.87197790842</v>
      </c>
      <c r="Y96" s="33">
        <f t="shared" si="63"/>
        <v>264969.96466499165</v>
      </c>
      <c r="Z96" s="33">
        <f t="shared" si="63"/>
        <v>275966.21819858876</v>
      </c>
      <c r="AA96" s="33">
        <f t="shared" si="63"/>
        <v>287418.81625383015</v>
      </c>
      <c r="AB96" s="33">
        <f t="shared" si="63"/>
        <v>299346.69712836412</v>
      </c>
      <c r="AC96" s="33">
        <f t="shared" si="63"/>
        <v>311769.58505919122</v>
      </c>
      <c r="AD96" s="33">
        <f t="shared" si="63"/>
        <v>324708.02283914766</v>
      </c>
      <c r="AE96" s="33">
        <f t="shared" si="63"/>
        <v>338183.40578697232</v>
      </c>
      <c r="AF96" s="33">
        <f t="shared" si="63"/>
        <v>352218.01712713164</v>
      </c>
      <c r="AG96" s="33">
        <f t="shared" si="63"/>
        <v>366835.06483790762</v>
      </c>
      <c r="AH96" s="33">
        <f t="shared" si="63"/>
        <v>382058.72002868081</v>
      </c>
      <c r="AI96" s="33">
        <f t="shared" si="63"/>
        <v>397914.15690987109</v>
      </c>
      <c r="AJ96" s="33">
        <f t="shared" si="63"/>
        <v>414427.59442163078</v>
      </c>
      <c r="AK96" s="33">
        <f t="shared" si="63"/>
        <v>431626.33959012845</v>
      </c>
    </row>
    <row r="97" spans="1:37" s="5" customFormat="1" ht="19" customHeight="1">
      <c r="A97" s="275" t="str">
        <f>A51</f>
        <v>Expected value of transactions, non-friction facing</v>
      </c>
      <c r="B97" s="33">
        <f>B96*'A1. BASE MODEL INPUTS'!$E$9</f>
        <v>780000</v>
      </c>
      <c r="C97" s="33">
        <f>C96*('A1. BASE MODEL INPUTS'!$E$7/'A1. BASE MODEL INPUTS'!$E$8)</f>
        <v>812370</v>
      </c>
      <c r="D97" s="33">
        <f>D96*('A1. BASE MODEL INPUTS'!$E$7/'A1. BASE MODEL INPUTS'!$E$8)</f>
        <v>846083.35499999998</v>
      </c>
      <c r="E97" s="33">
        <f>E96*('A1. BASE MODEL INPUTS'!$E$7/'A1. BASE MODEL INPUTS'!$E$8)</f>
        <v>881195.81423250004</v>
      </c>
      <c r="F97" s="33">
        <f>F96*('A1. BASE MODEL INPUTS'!$E$7/'A1. BASE MODEL INPUTS'!$E$8)</f>
        <v>917765.44052314875</v>
      </c>
      <c r="G97" s="33">
        <f>G96*('A1. BASE MODEL INPUTS'!$E$7/'A1. BASE MODEL INPUTS'!$E$8)</f>
        <v>955852.70630485937</v>
      </c>
      <c r="H97" s="33">
        <f>H96*('A1. BASE MODEL INPUTS'!$E$7/'A1. BASE MODEL INPUTS'!$E$8)</f>
        <v>995520.59361651121</v>
      </c>
      <c r="I97" s="33">
        <f>I96*('A1. BASE MODEL INPUTS'!$E$7/'A1. BASE MODEL INPUTS'!$E$8)</f>
        <v>1036834.6982515964</v>
      </c>
      <c r="J97" s="33">
        <f>J96*('A1. BASE MODEL INPUTS'!$E$7/'A1. BASE MODEL INPUTS'!$E$8)</f>
        <v>1079863.3382290378</v>
      </c>
      <c r="K97" s="33">
        <f>K96*('A1. BASE MODEL INPUTS'!$E$7/'A1. BASE MODEL INPUTS'!$E$8)</f>
        <v>1124677.6667655429</v>
      </c>
      <c r="L97" s="33">
        <f>L96*('A1. BASE MODEL INPUTS'!$E$7/'A1. BASE MODEL INPUTS'!$E$8)</f>
        <v>1171351.7899363129</v>
      </c>
      <c r="M97" s="33">
        <f>M96*('A1. BASE MODEL INPUTS'!$E$7/'A1. BASE MODEL INPUTS'!$E$8)</f>
        <v>1219962.8892186699</v>
      </c>
      <c r="N97" s="33">
        <f>N96*('A1. BASE MODEL INPUTS'!$E$7/'A1. BASE MODEL INPUTS'!$E$8)</f>
        <v>1270591.3491212446</v>
      </c>
      <c r="O97" s="33">
        <f>O96*('A1. BASE MODEL INPUTS'!$E$7/'A1. BASE MODEL INPUTS'!$E$8)</f>
        <v>1323320.8901097763</v>
      </c>
      <c r="P97" s="33">
        <f>P96*('A1. BASE MODEL INPUTS'!$E$7/'A1. BASE MODEL INPUTS'!$E$8)</f>
        <v>1378238.7070493321</v>
      </c>
      <c r="Q97" s="33">
        <f>Q96*('A1. BASE MODEL INPUTS'!$E$7/'A1. BASE MODEL INPUTS'!$E$8)</f>
        <v>1435435.6133918792</v>
      </c>
      <c r="R97" s="33">
        <f>R96*('A1. BASE MODEL INPUTS'!$E$7/'A1. BASE MODEL INPUTS'!$E$8)</f>
        <v>1495006.1913476423</v>
      </c>
      <c r="S97" s="33">
        <f>S96*('A1. BASE MODEL INPUTS'!$E$7/'A1. BASE MODEL INPUTS'!$E$8)</f>
        <v>1557048.9482885695</v>
      </c>
      <c r="T97" s="33">
        <f>T96*('A1. BASE MODEL INPUTS'!$E$7/'A1. BASE MODEL INPUTS'!$E$8)</f>
        <v>1621666.4796425451</v>
      </c>
      <c r="U97" s="33">
        <f>U96*('A1. BASE MODEL INPUTS'!$E$7/'A1. BASE MODEL INPUTS'!$E$8)</f>
        <v>1688965.6385477106</v>
      </c>
      <c r="V97" s="33">
        <f>V96*('A1. BASE MODEL INPUTS'!$E$7/'A1. BASE MODEL INPUTS'!$E$8)</f>
        <v>1759057.7125474405</v>
      </c>
      <c r="W97" s="33">
        <f>W96*('A1. BASE MODEL INPUTS'!$E$7/'A1. BASE MODEL INPUTS'!$E$8)</f>
        <v>1832058.6076181596</v>
      </c>
      <c r="X97" s="33">
        <f>X96*('A1. BASE MODEL INPUTS'!$E$7/'A1. BASE MODEL INPUTS'!$E$8)</f>
        <v>1908089.0398343131</v>
      </c>
      <c r="Y97" s="33">
        <f>Y96*('A1. BASE MODEL INPUTS'!$E$7/'A1. BASE MODEL INPUTS'!$E$8)</f>
        <v>1987274.7349874375</v>
      </c>
      <c r="Z97" s="33">
        <f>Z96*('A1. BASE MODEL INPUTS'!$E$7/'A1. BASE MODEL INPUTS'!$E$8)</f>
        <v>2069746.6364894158</v>
      </c>
      <c r="AA97" s="33">
        <f>AA96*('A1. BASE MODEL INPUTS'!$E$7/'A1. BASE MODEL INPUTS'!$E$8)</f>
        <v>2155641.1219037264</v>
      </c>
      <c r="AB97" s="33">
        <f>AB96*('A1. BASE MODEL INPUTS'!$E$7/'A1. BASE MODEL INPUTS'!$E$8)</f>
        <v>2245100.228462731</v>
      </c>
      <c r="AC97" s="33">
        <f>AC96*('A1. BASE MODEL INPUTS'!$E$7/'A1. BASE MODEL INPUTS'!$E$8)</f>
        <v>2338271.8879439342</v>
      </c>
      <c r="AD97" s="33">
        <f>AD96*('A1. BASE MODEL INPUTS'!$E$7/'A1. BASE MODEL INPUTS'!$E$8)</f>
        <v>2435310.1712936074</v>
      </c>
      <c r="AE97" s="33">
        <f>AE96*('A1. BASE MODEL INPUTS'!$E$7/'A1. BASE MODEL INPUTS'!$E$8)</f>
        <v>2536375.5434022923</v>
      </c>
      <c r="AF97" s="33">
        <f>AF96*('A1. BASE MODEL INPUTS'!$E$7/'A1. BASE MODEL INPUTS'!$E$8)</f>
        <v>2641635.1284534871</v>
      </c>
      <c r="AG97" s="33">
        <f>AG96*('A1. BASE MODEL INPUTS'!$E$7/'A1. BASE MODEL INPUTS'!$E$8)</f>
        <v>2751262.9862843072</v>
      </c>
      <c r="AH97" s="33">
        <f>AH96*('A1. BASE MODEL INPUTS'!$E$7/'A1. BASE MODEL INPUTS'!$E$8)</f>
        <v>2865440.4002151061</v>
      </c>
      <c r="AI97" s="33">
        <f>AI96*('A1. BASE MODEL INPUTS'!$E$7/'A1. BASE MODEL INPUTS'!$E$8)</f>
        <v>2984356.1768240333</v>
      </c>
      <c r="AJ97" s="33">
        <f>AJ96*('A1. BASE MODEL INPUTS'!$E$7/'A1. BASE MODEL INPUTS'!$E$8)</f>
        <v>3108206.9581622309</v>
      </c>
      <c r="AK97" s="33">
        <f>AK96*('A1. BASE MODEL INPUTS'!$E$7/'A1. BASE MODEL INPUTS'!$E$8)</f>
        <v>3237197.5469259634</v>
      </c>
    </row>
    <row r="98" spans="1:37" s="5" customFormat="1" ht="14" customHeight="1">
      <c r="A98" s="275" t="str">
        <f>A52</f>
        <v>Cost of collecting these payments</v>
      </c>
      <c r="B98" s="33">
        <f>-B97*'A1. BASE MODEL INPUTS'!$E$21</f>
        <v>-11700</v>
      </c>
      <c r="C98" s="33">
        <f>-C97*'A1. BASE MODEL INPUTS'!$E$21</f>
        <v>-12185.55</v>
      </c>
      <c r="D98" s="33">
        <f>-D97*'A1. BASE MODEL INPUTS'!$E$21</f>
        <v>-12691.250324999999</v>
      </c>
      <c r="E98" s="33">
        <f>-E97*'A1. BASE MODEL INPUTS'!$E$21</f>
        <v>-13217.937213487499</v>
      </c>
      <c r="F98" s="33">
        <f>-F97*'A1. BASE MODEL INPUTS'!$E$21</f>
        <v>-13766.48160784723</v>
      </c>
      <c r="G98" s="33">
        <f>-G97*'A1. BASE MODEL INPUTS'!$E$21</f>
        <v>-14337.790594572891</v>
      </c>
      <c r="H98" s="33">
        <f>-H97*'A1. BASE MODEL INPUTS'!$E$21</f>
        <v>-14932.808904247668</v>
      </c>
      <c r="I98" s="33">
        <f>-I97*'A1. BASE MODEL INPUTS'!$E$21</f>
        <v>-15552.520473773946</v>
      </c>
      <c r="J98" s="33">
        <f>-J97*'A1. BASE MODEL INPUTS'!$E$21</f>
        <v>-16197.950073435566</v>
      </c>
      <c r="K98" s="33">
        <f>-K97*'A1. BASE MODEL INPUTS'!$E$21</f>
        <v>-16870.165001483143</v>
      </c>
      <c r="L98" s="33">
        <f>-L97*'A1. BASE MODEL INPUTS'!$E$21</f>
        <v>-17570.276849044694</v>
      </c>
      <c r="M98" s="33">
        <f>-M97*'A1. BASE MODEL INPUTS'!$E$21</f>
        <v>-18299.443338280045</v>
      </c>
      <c r="N98" s="33">
        <f>-N97*'A1. BASE MODEL INPUTS'!$E$21</f>
        <v>-19058.870236818668</v>
      </c>
      <c r="O98" s="33">
        <f>-O97*'A1. BASE MODEL INPUTS'!$E$21</f>
        <v>-19849.813351646644</v>
      </c>
      <c r="P98" s="33">
        <f>-P97*'A1. BASE MODEL INPUTS'!$E$21</f>
        <v>-20673.580605739982</v>
      </c>
      <c r="Q98" s="33">
        <f>-Q97*'A1. BASE MODEL INPUTS'!$E$21</f>
        <v>-21531.534200878188</v>
      </c>
      <c r="R98" s="33">
        <f>-R97*'A1. BASE MODEL INPUTS'!$E$21</f>
        <v>-22425.092870214634</v>
      </c>
      <c r="S98" s="33">
        <f>-S97*'A1. BASE MODEL INPUTS'!$E$21</f>
        <v>-23355.734224328542</v>
      </c>
      <c r="T98" s="33">
        <f>-T97*'A1. BASE MODEL INPUTS'!$E$21</f>
        <v>-24324.997194638177</v>
      </c>
      <c r="U98" s="33">
        <f>-U97*'A1. BASE MODEL INPUTS'!$E$21</f>
        <v>-25334.484578215659</v>
      </c>
      <c r="V98" s="33">
        <f>-V97*'A1. BASE MODEL INPUTS'!$E$21</f>
        <v>-26385.865688211608</v>
      </c>
      <c r="W98" s="33">
        <f>-W97*'A1. BASE MODEL INPUTS'!$E$21</f>
        <v>-27480.879114272393</v>
      </c>
      <c r="X98" s="33">
        <f>-X97*'A1. BASE MODEL INPUTS'!$E$21</f>
        <v>-28621.335597514695</v>
      </c>
      <c r="Y98" s="33">
        <f>-Y97*'A1. BASE MODEL INPUTS'!$E$21</f>
        <v>-29809.12102481156</v>
      </c>
      <c r="Z98" s="33">
        <f>-Z97*'A1. BASE MODEL INPUTS'!$E$21</f>
        <v>-31046.199547341235</v>
      </c>
      <c r="AA98" s="33">
        <f>-AA97*'A1. BASE MODEL INPUTS'!$E$21</f>
        <v>-32334.616828555896</v>
      </c>
      <c r="AB98" s="33">
        <f>-AB97*'A1. BASE MODEL INPUTS'!$E$21</f>
        <v>-33676.503426940966</v>
      </c>
      <c r="AC98" s="33">
        <f>-AC97*'A1. BASE MODEL INPUTS'!$E$21</f>
        <v>-35074.078319159009</v>
      </c>
      <c r="AD98" s="33">
        <f>-AD97*'A1. BASE MODEL INPUTS'!$E$21</f>
        <v>-36529.652569404112</v>
      </c>
      <c r="AE98" s="33">
        <f>-AE97*'A1. BASE MODEL INPUTS'!$E$21</f>
        <v>-38045.633151034381</v>
      </c>
      <c r="AF98" s="33">
        <f>-AF97*'A1. BASE MODEL INPUTS'!$E$21</f>
        <v>-39624.526926802304</v>
      </c>
      <c r="AG98" s="33">
        <f>-AG97*'A1. BASE MODEL INPUTS'!$E$21</f>
        <v>-41268.944794264607</v>
      </c>
      <c r="AH98" s="33">
        <f>-AH97*'A1. BASE MODEL INPUTS'!$E$21</f>
        <v>-42981.606003226589</v>
      </c>
      <c r="AI98" s="33">
        <f>-AI97*'A1. BASE MODEL INPUTS'!$E$21</f>
        <v>-44765.342652360494</v>
      </c>
      <c r="AJ98" s="33">
        <f>-AJ97*'A1. BASE MODEL INPUTS'!$E$21</f>
        <v>-46623.10437243346</v>
      </c>
      <c r="AK98" s="33">
        <f>-AK97*'A1. BASE MODEL INPUTS'!$E$21</f>
        <v>-48557.963203889449</v>
      </c>
    </row>
    <row r="99" spans="1:37" s="5" customFormat="1" ht="14" customHeight="1">
      <c r="A99" s="275"/>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row>
    <row r="100" spans="1:37" s="5" customFormat="1" ht="14" customHeight="1">
      <c r="A100" s="294" t="str">
        <f>A54</f>
        <v>Payment Collection Costs</v>
      </c>
      <c r="B100" s="295"/>
      <c r="C100" s="295"/>
      <c r="D100" s="295"/>
      <c r="E100" s="295"/>
      <c r="F100" s="295"/>
      <c r="G100" s="295"/>
      <c r="H100" s="295"/>
      <c r="I100" s="295"/>
      <c r="J100" s="295"/>
      <c r="K100" s="295"/>
      <c r="L100" s="295"/>
      <c r="M100" s="295"/>
      <c r="N100" s="295"/>
      <c r="O100" s="295"/>
      <c r="P100" s="295"/>
      <c r="Q100" s="295"/>
      <c r="R100" s="295"/>
      <c r="S100" s="295"/>
      <c r="T100" s="295"/>
      <c r="U100" s="295"/>
      <c r="V100" s="295"/>
      <c r="W100" s="295"/>
      <c r="X100" s="295"/>
      <c r="Y100" s="295"/>
      <c r="Z100" s="295"/>
      <c r="AA100" s="295"/>
      <c r="AB100" s="295"/>
      <c r="AC100" s="295"/>
      <c r="AD100" s="295"/>
      <c r="AE100" s="295"/>
      <c r="AF100" s="295"/>
      <c r="AG100" s="295"/>
      <c r="AH100" s="295"/>
      <c r="AI100" s="295"/>
      <c r="AJ100" s="295"/>
      <c r="AK100" s="295"/>
    </row>
    <row r="101" spans="1:37" s="292" customFormat="1" ht="14" customHeight="1">
      <c r="A101" s="290" t="str">
        <f>A55</f>
        <v>Total payment collection costs</v>
      </c>
      <c r="B101" s="291">
        <f>B98+B93</f>
        <v>-11700</v>
      </c>
      <c r="C101" s="291">
        <f t="shared" ref="C101:AK101" si="64">C98+C93</f>
        <v>-12185.55</v>
      </c>
      <c r="D101" s="291">
        <f t="shared" si="64"/>
        <v>-12691.250324999999</v>
      </c>
      <c r="E101" s="291">
        <f t="shared" si="64"/>
        <v>-13217.937213487499</v>
      </c>
      <c r="F101" s="291">
        <f t="shared" si="64"/>
        <v>-13766.48160784723</v>
      </c>
      <c r="G101" s="291">
        <f t="shared" si="64"/>
        <v>-14337.790594572891</v>
      </c>
      <c r="H101" s="291">
        <f t="shared" si="64"/>
        <v>-14932.808904247668</v>
      </c>
      <c r="I101" s="291">
        <f t="shared" si="64"/>
        <v>-15552.520473773946</v>
      </c>
      <c r="J101" s="291">
        <f t="shared" si="64"/>
        <v>-16197.950073435566</v>
      </c>
      <c r="K101" s="291">
        <f t="shared" si="64"/>
        <v>-16870.165001483143</v>
      </c>
      <c r="L101" s="291">
        <f t="shared" si="64"/>
        <v>-17570.276849044694</v>
      </c>
      <c r="M101" s="291">
        <f t="shared" si="64"/>
        <v>-18299.443338280045</v>
      </c>
      <c r="N101" s="291">
        <f t="shared" si="64"/>
        <v>-19058.870236818668</v>
      </c>
      <c r="O101" s="291">
        <f t="shared" si="64"/>
        <v>-19849.813351646644</v>
      </c>
      <c r="P101" s="291">
        <f t="shared" si="64"/>
        <v>-20673.580605739982</v>
      </c>
      <c r="Q101" s="291">
        <f t="shared" si="64"/>
        <v>-21531.534200878188</v>
      </c>
      <c r="R101" s="291">
        <f t="shared" si="64"/>
        <v>-22425.092870214634</v>
      </c>
      <c r="S101" s="291">
        <f t="shared" si="64"/>
        <v>-23355.734224328542</v>
      </c>
      <c r="T101" s="291">
        <f t="shared" si="64"/>
        <v>-24324.997194638177</v>
      </c>
      <c r="U101" s="291">
        <f t="shared" si="64"/>
        <v>-25334.484578215659</v>
      </c>
      <c r="V101" s="291">
        <f t="shared" si="64"/>
        <v>-26385.865688211608</v>
      </c>
      <c r="W101" s="291">
        <f t="shared" si="64"/>
        <v>-27480.879114272393</v>
      </c>
      <c r="X101" s="291">
        <f t="shared" si="64"/>
        <v>-28621.335597514695</v>
      </c>
      <c r="Y101" s="291">
        <f t="shared" si="64"/>
        <v>-29809.12102481156</v>
      </c>
      <c r="Z101" s="291">
        <f t="shared" si="64"/>
        <v>-31046.199547341235</v>
      </c>
      <c r="AA101" s="291">
        <f t="shared" si="64"/>
        <v>-32334.616828555896</v>
      </c>
      <c r="AB101" s="291">
        <f t="shared" si="64"/>
        <v>-33676.503426940966</v>
      </c>
      <c r="AC101" s="291">
        <f t="shared" si="64"/>
        <v>-35074.078319159009</v>
      </c>
      <c r="AD101" s="291">
        <f t="shared" si="64"/>
        <v>-36529.652569404112</v>
      </c>
      <c r="AE101" s="291">
        <f t="shared" si="64"/>
        <v>-38045.633151034381</v>
      </c>
      <c r="AF101" s="291">
        <f t="shared" si="64"/>
        <v>-39624.526926802304</v>
      </c>
      <c r="AG101" s="291">
        <f t="shared" si="64"/>
        <v>-41268.944794264607</v>
      </c>
      <c r="AH101" s="291">
        <f t="shared" si="64"/>
        <v>-42981.606003226589</v>
      </c>
      <c r="AI101" s="291">
        <f t="shared" si="64"/>
        <v>-44765.342652360494</v>
      </c>
      <c r="AJ101" s="291">
        <f t="shared" si="64"/>
        <v>-46623.10437243346</v>
      </c>
      <c r="AK101" s="291">
        <f t="shared" si="64"/>
        <v>-48557.963203889449</v>
      </c>
    </row>
    <row r="102" spans="1:37" s="5" customFormat="1" ht="14" customHeight="1">
      <c r="A102" s="278"/>
      <c r="B102" s="8"/>
      <c r="C102" s="45"/>
      <c r="D102" s="45"/>
      <c r="E102" s="45"/>
      <c r="F102" s="45"/>
      <c r="G102" s="45"/>
      <c r="H102" s="45"/>
    </row>
    <row r="103" spans="1:37" s="160" customFormat="1" ht="28" customHeight="1">
      <c r="A103" s="333" t="s">
        <v>185</v>
      </c>
      <c r="B103" s="310">
        <f>B86+B101</f>
        <v>804300</v>
      </c>
      <c r="C103" s="310">
        <f t="shared" ref="C103:AK103" si="65">C86+C101</f>
        <v>839905.95</v>
      </c>
      <c r="D103" s="310">
        <f t="shared" si="65"/>
        <v>874762.04692499992</v>
      </c>
      <c r="E103" s="310">
        <f t="shared" si="65"/>
        <v>911064.67187238764</v>
      </c>
      <c r="F103" s="310">
        <f t="shared" si="65"/>
        <v>948873.85575509153</v>
      </c>
      <c r="G103" s="310">
        <f t="shared" si="65"/>
        <v>988252.12076892797</v>
      </c>
      <c r="H103" s="310">
        <f t="shared" si="65"/>
        <v>1029264.5837808385</v>
      </c>
      <c r="I103" s="310">
        <f t="shared" si="65"/>
        <v>1071979.064007743</v>
      </c>
      <c r="J103" s="310">
        <f t="shared" si="65"/>
        <v>1116466.1951640646</v>
      </c>
      <c r="K103" s="310">
        <f t="shared" si="65"/>
        <v>1162799.5422633735</v>
      </c>
      <c r="L103" s="310">
        <f t="shared" si="65"/>
        <v>1211055.7232673035</v>
      </c>
      <c r="M103" s="310">
        <f t="shared" si="65"/>
        <v>1261314.5357828964</v>
      </c>
      <c r="N103" s="310">
        <f t="shared" si="65"/>
        <v>1313659.0890178867</v>
      </c>
      <c r="O103" s="310">
        <f t="shared" si="65"/>
        <v>1368175.9412121291</v>
      </c>
      <c r="P103" s="310">
        <f t="shared" si="65"/>
        <v>1424955.2427724325</v>
      </c>
      <c r="Q103" s="310">
        <f t="shared" si="65"/>
        <v>1484090.8853474883</v>
      </c>
      <c r="R103" s="310">
        <f t="shared" si="65"/>
        <v>1545680.6570894092</v>
      </c>
      <c r="S103" s="310">
        <f t="shared" si="65"/>
        <v>1609826.4043586196</v>
      </c>
      <c r="T103" s="310">
        <f t="shared" si="65"/>
        <v>1676634.2001395023</v>
      </c>
      <c r="U103" s="310">
        <f t="shared" si="65"/>
        <v>1746214.5194452915</v>
      </c>
      <c r="V103" s="310">
        <f t="shared" si="65"/>
        <v>1818682.4220022713</v>
      </c>
      <c r="W103" s="310">
        <f t="shared" si="65"/>
        <v>1894157.7425153656</v>
      </c>
      <c r="X103" s="310">
        <f t="shared" si="65"/>
        <v>1972765.2888297532</v>
      </c>
      <c r="Y103" s="310">
        <f t="shared" si="65"/>
        <v>2054635.0483161882</v>
      </c>
      <c r="Z103" s="310">
        <f t="shared" si="65"/>
        <v>2139902.4028213099</v>
      </c>
      <c r="AA103" s="310">
        <f t="shared" si="65"/>
        <v>2228708.3525383943</v>
      </c>
      <c r="AB103" s="310">
        <f t="shared" si="65"/>
        <v>2321199.7491687373</v>
      </c>
      <c r="AC103" s="310">
        <f t="shared" si="65"/>
        <v>2417529.5387592399</v>
      </c>
      <c r="AD103" s="310">
        <f t="shared" si="65"/>
        <v>2517857.0146177481</v>
      </c>
      <c r="AE103" s="310">
        <f t="shared" si="65"/>
        <v>2622348.0807243846</v>
      </c>
      <c r="AF103" s="310">
        <f t="shared" si="65"/>
        <v>2731175.5260744463</v>
      </c>
      <c r="AG103" s="310">
        <f t="shared" si="65"/>
        <v>2844519.3104065363</v>
      </c>
      <c r="AH103" s="310">
        <f t="shared" si="65"/>
        <v>2962566.8617884074</v>
      </c>
      <c r="AI103" s="310">
        <f t="shared" si="65"/>
        <v>3085513.3865526272</v>
      </c>
      <c r="AJ103" s="310">
        <f t="shared" si="65"/>
        <v>3213562.1920945612</v>
      </c>
      <c r="AK103" s="310">
        <f t="shared" si="65"/>
        <v>3346925.0230664858</v>
      </c>
    </row>
    <row r="104" spans="1:37" s="155" customFormat="1" ht="14" customHeight="1">
      <c r="A104" s="261"/>
      <c r="B104" s="156"/>
      <c r="C104" s="156"/>
      <c r="D104" s="156"/>
      <c r="E104" s="156"/>
      <c r="F104" s="156"/>
      <c r="G104" s="156"/>
      <c r="H104" s="156"/>
      <c r="I104" s="156"/>
      <c r="J104" s="156"/>
      <c r="K104" s="156"/>
      <c r="L104" s="156"/>
      <c r="M104" s="156"/>
      <c r="N104" s="156"/>
      <c r="O104" s="156"/>
      <c r="P104" s="156"/>
      <c r="Q104" s="156"/>
      <c r="R104" s="156"/>
      <c r="S104" s="156"/>
      <c r="T104" s="156"/>
      <c r="U104" s="156"/>
      <c r="V104" s="156"/>
      <c r="W104" s="156"/>
      <c r="X104" s="156"/>
      <c r="Y104" s="156"/>
      <c r="Z104" s="156"/>
      <c r="AA104" s="156"/>
      <c r="AB104" s="156"/>
      <c r="AC104" s="156"/>
      <c r="AD104" s="156"/>
      <c r="AE104" s="156"/>
      <c r="AF104" s="156"/>
      <c r="AG104" s="156"/>
      <c r="AH104" s="156"/>
      <c r="AI104" s="156"/>
      <c r="AJ104" s="156"/>
      <c r="AK104" s="156"/>
    </row>
    <row r="105" spans="1:37" s="5" customFormat="1" ht="14" customHeight="1">
      <c r="A105" s="262"/>
      <c r="B105" s="47"/>
      <c r="C105" s="48"/>
      <c r="D105" s="48"/>
      <c r="E105" s="48"/>
      <c r="F105" s="48"/>
      <c r="G105" s="48"/>
      <c r="H105" s="48"/>
    </row>
    <row r="106" spans="1:37" s="5" customFormat="1" ht="14" customHeight="1">
      <c r="A106" s="262"/>
      <c r="B106" s="11"/>
      <c r="C106" s="41"/>
      <c r="D106" s="41"/>
      <c r="E106" s="41"/>
      <c r="F106" s="41"/>
      <c r="G106" s="41"/>
      <c r="H106" s="41"/>
    </row>
    <row r="107" spans="1:37" s="5" customFormat="1" ht="14" customHeight="1">
      <c r="A107" s="262"/>
      <c r="B107" s="11"/>
      <c r="C107" s="41"/>
      <c r="D107" s="41"/>
      <c r="E107" s="41"/>
      <c r="F107" s="41"/>
      <c r="G107" s="41"/>
      <c r="H107" s="41"/>
    </row>
    <row r="108" spans="1:37" s="5" customFormat="1" ht="14" customHeight="1">
      <c r="A108" s="262"/>
      <c r="B108" s="11"/>
      <c r="C108" s="41"/>
      <c r="D108" s="41"/>
      <c r="E108" s="41"/>
      <c r="F108" s="41"/>
      <c r="G108" s="41"/>
      <c r="H108" s="41"/>
    </row>
    <row r="109" spans="1:37" s="5" customFormat="1" ht="14" customHeight="1">
      <c r="A109" s="178"/>
      <c r="B109" s="11"/>
      <c r="C109" s="41"/>
      <c r="D109" s="41"/>
      <c r="E109" s="41"/>
      <c r="F109" s="41"/>
      <c r="G109" s="41"/>
      <c r="H109" s="41"/>
    </row>
    <row r="110" spans="1:37" s="5" customFormat="1" ht="14" customHeight="1">
      <c r="A110" s="263"/>
      <c r="B110" s="11"/>
      <c r="C110" s="45"/>
      <c r="D110" s="45"/>
      <c r="E110" s="45"/>
      <c r="F110" s="45"/>
      <c r="G110" s="45"/>
      <c r="H110" s="45"/>
    </row>
    <row r="111" spans="1:37" s="5" customFormat="1" ht="14" customHeight="1">
      <c r="A111" s="263"/>
      <c r="B111" s="8"/>
      <c r="C111" s="8"/>
      <c r="D111" s="8"/>
      <c r="E111" s="8"/>
      <c r="F111" s="8"/>
      <c r="G111" s="8"/>
      <c r="H111" s="8"/>
    </row>
    <row r="112" spans="1:37" s="5" customFormat="1" ht="14" customHeight="1">
      <c r="A112" s="262"/>
      <c r="B112" s="11"/>
      <c r="C112" s="41"/>
      <c r="D112" s="41"/>
      <c r="E112" s="41"/>
      <c r="F112" s="41"/>
      <c r="G112" s="41"/>
      <c r="H112" s="41"/>
    </row>
    <row r="113" spans="1:9" s="5" customFormat="1" ht="14" customHeight="1">
      <c r="A113" s="262"/>
      <c r="B113" s="11"/>
      <c r="C113" s="41"/>
      <c r="D113" s="41"/>
      <c r="E113" s="41"/>
      <c r="F113" s="41"/>
      <c r="G113" s="41"/>
      <c r="H113" s="41"/>
    </row>
    <row r="114" spans="1:9" s="5" customFormat="1" ht="14" customHeight="1">
      <c r="A114" s="46"/>
      <c r="B114" s="11"/>
      <c r="C114" s="41"/>
      <c r="D114" s="41"/>
      <c r="E114" s="41"/>
      <c r="F114" s="41"/>
      <c r="G114" s="41"/>
      <c r="H114" s="41"/>
    </row>
    <row r="115" spans="1:9" s="5" customFormat="1" ht="14" customHeight="1">
      <c r="B115" s="11"/>
      <c r="C115" s="37"/>
      <c r="D115" s="37"/>
      <c r="E115" s="37"/>
      <c r="F115" s="37"/>
      <c r="G115" s="37"/>
      <c r="H115" s="37"/>
    </row>
    <row r="116" spans="1:9" s="5" customFormat="1" ht="14" customHeight="1">
      <c r="A116" s="39"/>
      <c r="B116" s="11"/>
      <c r="C116" s="8"/>
      <c r="D116" s="8"/>
      <c r="E116" s="8"/>
      <c r="F116" s="8"/>
      <c r="G116" s="8"/>
      <c r="H116" s="8"/>
      <c r="I116" s="9"/>
    </row>
    <row r="117" spans="1:9" s="5" customFormat="1" ht="14" customHeight="1">
      <c r="A117" s="10"/>
      <c r="B117" s="8"/>
      <c r="C117" s="8"/>
      <c r="D117" s="8"/>
      <c r="E117" s="8"/>
      <c r="F117" s="8"/>
      <c r="G117" s="8"/>
      <c r="H117" s="8"/>
      <c r="I117" s="8"/>
    </row>
    <row r="118" spans="1:9" s="5" customFormat="1" ht="14" customHeight="1">
      <c r="A118" s="46"/>
      <c r="B118" s="11"/>
      <c r="C118" s="41"/>
      <c r="D118" s="41"/>
      <c r="E118" s="41"/>
      <c r="F118" s="41"/>
      <c r="G118" s="41"/>
      <c r="H118" s="41"/>
      <c r="I118" s="41"/>
    </row>
    <row r="119" spans="1:9" s="5" customFormat="1" ht="14" customHeight="1">
      <c r="A119" s="46"/>
      <c r="B119" s="11"/>
      <c r="C119" s="41"/>
      <c r="D119" s="41"/>
      <c r="E119" s="41"/>
      <c r="F119" s="41"/>
      <c r="G119" s="41"/>
      <c r="H119" s="41"/>
      <c r="I119" s="41"/>
    </row>
    <row r="120" spans="1:9" s="5" customFormat="1" ht="14" customHeight="1">
      <c r="A120" s="46"/>
      <c r="B120" s="11"/>
      <c r="C120" s="41"/>
      <c r="D120" s="41"/>
      <c r="E120" s="41"/>
      <c r="F120" s="41"/>
      <c r="G120" s="41"/>
      <c r="H120" s="41"/>
      <c r="I120" s="41"/>
    </row>
    <row r="121" spans="1:9" s="5" customFormat="1" ht="14" customHeight="1">
      <c r="B121" s="11"/>
      <c r="C121" s="38"/>
      <c r="D121" s="37"/>
      <c r="E121" s="37"/>
      <c r="F121" s="37"/>
      <c r="G121" s="37"/>
      <c r="H121" s="37"/>
    </row>
    <row r="122" spans="1:9" s="5" customFormat="1" ht="14" customHeight="1">
      <c r="A122" s="10"/>
      <c r="B122" s="11"/>
      <c r="C122" s="41"/>
      <c r="D122" s="41"/>
      <c r="E122" s="41"/>
      <c r="F122" s="41"/>
      <c r="G122" s="41"/>
      <c r="H122" s="41"/>
    </row>
    <row r="123" spans="1:9" s="5" customFormat="1" ht="14" customHeight="1">
      <c r="A123" s="46"/>
      <c r="B123" s="11"/>
      <c r="C123" s="41"/>
      <c r="D123" s="41"/>
      <c r="E123" s="41"/>
      <c r="F123" s="41"/>
      <c r="G123" s="41"/>
      <c r="H123" s="41"/>
      <c r="I123" s="41"/>
    </row>
    <row r="124" spans="1:9" s="5" customFormat="1" ht="14" customHeight="1">
      <c r="A124" s="46"/>
      <c r="B124" s="11"/>
      <c r="C124" s="41"/>
      <c r="D124" s="41"/>
      <c r="E124" s="41"/>
      <c r="F124" s="41"/>
      <c r="G124" s="41"/>
      <c r="H124" s="41"/>
      <c r="I124" s="41"/>
    </row>
    <row r="125" spans="1:9" s="5" customFormat="1" ht="14" customHeight="1">
      <c r="A125" s="46"/>
      <c r="B125" s="11"/>
      <c r="C125" s="41"/>
      <c r="D125" s="41"/>
      <c r="E125" s="41"/>
      <c r="F125" s="41"/>
      <c r="G125" s="41"/>
      <c r="H125" s="41"/>
      <c r="I125" s="41"/>
    </row>
    <row r="126" spans="1:9" s="5" customFormat="1" ht="14" customHeight="1">
      <c r="B126" s="11"/>
      <c r="C126" s="41"/>
      <c r="D126" s="41"/>
      <c r="E126" s="41"/>
      <c r="F126" s="41"/>
      <c r="G126" s="41"/>
      <c r="H126" s="41"/>
      <c r="I126" s="11"/>
    </row>
    <row r="127" spans="1:9" s="5" customFormat="1" ht="14" customHeight="1">
      <c r="A127" s="10"/>
      <c r="B127" s="11"/>
      <c r="C127" s="41"/>
      <c r="D127" s="41"/>
      <c r="E127" s="41"/>
      <c r="F127" s="41"/>
      <c r="G127" s="41"/>
      <c r="H127" s="41"/>
      <c r="I127" s="11"/>
    </row>
    <row r="128" spans="1:9" s="5" customFormat="1" ht="14" customHeight="1">
      <c r="A128" s="46"/>
      <c r="B128" s="11"/>
      <c r="C128" s="41"/>
      <c r="D128" s="41"/>
      <c r="E128" s="41"/>
      <c r="F128" s="41"/>
      <c r="G128" s="41"/>
      <c r="H128" s="41"/>
      <c r="I128" s="41"/>
    </row>
    <row r="129" spans="1:16" s="5" customFormat="1" ht="14" customHeight="1">
      <c r="A129" s="46"/>
      <c r="B129" s="11"/>
      <c r="C129" s="41"/>
      <c r="D129" s="41"/>
      <c r="E129" s="41"/>
      <c r="F129" s="41"/>
      <c r="G129" s="41"/>
      <c r="H129" s="41"/>
      <c r="I129" s="41"/>
    </row>
    <row r="130" spans="1:16" s="5" customFormat="1" ht="14" customHeight="1">
      <c r="A130" s="46"/>
      <c r="B130" s="11"/>
      <c r="C130" s="41"/>
      <c r="D130" s="41"/>
      <c r="E130" s="41"/>
      <c r="F130" s="41"/>
      <c r="G130" s="41"/>
      <c r="H130" s="41"/>
      <c r="I130" s="41"/>
    </row>
    <row r="131" spans="1:16" s="5" customFormat="1" ht="14" customHeight="1">
      <c r="B131" s="11"/>
      <c r="C131" s="37"/>
      <c r="D131" s="37"/>
      <c r="E131" s="37"/>
      <c r="F131" s="37"/>
      <c r="G131" s="37"/>
      <c r="H131" s="37"/>
    </row>
    <row r="132" spans="1:16" s="5" customFormat="1" ht="14" customHeight="1">
      <c r="A132" s="18"/>
      <c r="B132" s="18"/>
    </row>
    <row r="133" spans="1:16" s="5" customFormat="1" ht="14" customHeight="1">
      <c r="A133" s="49"/>
      <c r="B133" s="42"/>
    </row>
    <row r="134" spans="1:16" s="5" customFormat="1" ht="14" customHeight="1">
      <c r="A134" s="50"/>
      <c r="B134" s="8"/>
      <c r="C134" s="45"/>
      <c r="D134" s="43"/>
      <c r="E134" s="45"/>
      <c r="F134" s="43"/>
      <c r="G134" s="43"/>
      <c r="H134" s="43"/>
      <c r="I134" s="43"/>
      <c r="J134" s="37"/>
      <c r="K134" s="37"/>
      <c r="L134" s="37"/>
      <c r="M134" s="37"/>
      <c r="N134" s="37"/>
      <c r="O134" s="37"/>
      <c r="P134" s="37"/>
    </row>
    <row r="135" spans="1:16" s="5" customFormat="1" ht="14" customHeight="1">
      <c r="A135" s="10"/>
      <c r="B135" s="8"/>
      <c r="C135" s="8"/>
      <c r="D135" s="8"/>
      <c r="E135" s="8"/>
      <c r="F135" s="8"/>
      <c r="G135" s="8"/>
      <c r="H135" s="8"/>
      <c r="I135" s="8"/>
      <c r="J135" s="37"/>
      <c r="K135" s="37"/>
      <c r="L135" s="37"/>
      <c r="M135" s="37"/>
      <c r="N135" s="37"/>
      <c r="O135" s="37"/>
      <c r="P135" s="37"/>
    </row>
    <row r="136" spans="1:16" s="5" customFormat="1" ht="14" customHeight="1">
      <c r="A136" s="46"/>
      <c r="B136" s="11"/>
      <c r="C136" s="41"/>
      <c r="D136" s="41"/>
      <c r="E136" s="41"/>
      <c r="F136" s="41"/>
      <c r="G136" s="41"/>
      <c r="H136" s="41"/>
      <c r="I136" s="41"/>
      <c r="J136" s="37"/>
      <c r="K136" s="37"/>
      <c r="L136" s="37"/>
      <c r="M136" s="37"/>
      <c r="N136" s="37"/>
      <c r="O136" s="37"/>
      <c r="P136" s="37"/>
    </row>
    <row r="137" spans="1:16" s="5" customFormat="1" ht="14" customHeight="1">
      <c r="A137" s="46"/>
      <c r="B137" s="11"/>
      <c r="C137" s="41"/>
      <c r="D137" s="41"/>
      <c r="E137" s="41"/>
      <c r="F137" s="41"/>
      <c r="G137" s="41"/>
      <c r="H137" s="41"/>
      <c r="I137" s="41"/>
      <c r="J137" s="37"/>
      <c r="K137" s="37"/>
      <c r="L137" s="37"/>
      <c r="M137" s="37"/>
      <c r="N137" s="37"/>
      <c r="O137" s="37"/>
      <c r="P137" s="37"/>
    </row>
    <row r="138" spans="1:16" s="5" customFormat="1" ht="14" customHeight="1">
      <c r="A138" s="46"/>
      <c r="B138" s="11"/>
      <c r="C138" s="11"/>
      <c r="D138" s="41"/>
      <c r="E138" s="11"/>
      <c r="F138" s="41"/>
      <c r="G138" s="41"/>
      <c r="H138" s="41"/>
      <c r="I138" s="41"/>
      <c r="J138" s="37"/>
      <c r="K138" s="37"/>
      <c r="L138" s="37"/>
      <c r="M138" s="37"/>
      <c r="N138" s="37"/>
      <c r="O138" s="37"/>
      <c r="P138" s="37"/>
    </row>
    <row r="139" spans="1:16" s="5" customFormat="1" ht="14" customHeight="1">
      <c r="A139" s="4"/>
      <c r="B139" s="11"/>
      <c r="C139" s="40"/>
      <c r="D139" s="40"/>
      <c r="E139" s="40"/>
      <c r="F139" s="40"/>
      <c r="G139" s="40"/>
      <c r="H139" s="40"/>
      <c r="I139" s="40"/>
      <c r="J139" s="37"/>
      <c r="K139" s="37"/>
      <c r="L139" s="37"/>
      <c r="M139" s="37"/>
      <c r="N139" s="37"/>
      <c r="O139" s="37"/>
      <c r="P139" s="37"/>
    </row>
    <row r="140" spans="1:16" s="5" customFormat="1" ht="14" customHeight="1">
      <c r="A140" s="10"/>
      <c r="B140" s="11"/>
      <c r="C140" s="41"/>
      <c r="D140" s="41"/>
      <c r="I140" s="37"/>
      <c r="J140" s="37"/>
      <c r="K140" s="37"/>
      <c r="L140" s="37"/>
      <c r="M140" s="37"/>
      <c r="N140" s="37"/>
      <c r="O140" s="37"/>
      <c r="P140" s="37"/>
    </row>
    <row r="141" spans="1:16" s="5" customFormat="1" ht="14" customHeight="1">
      <c r="A141" s="10"/>
      <c r="B141" s="11"/>
      <c r="C141" s="41"/>
      <c r="D141" s="41"/>
      <c r="I141" s="37"/>
      <c r="J141" s="37"/>
      <c r="K141" s="37"/>
      <c r="L141" s="37"/>
      <c r="M141" s="37"/>
      <c r="N141" s="37"/>
      <c r="O141" s="37"/>
      <c r="P141" s="37"/>
    </row>
    <row r="142" spans="1:16" s="5" customFormat="1" ht="14" customHeight="1">
      <c r="A142" s="46"/>
      <c r="B142" s="11"/>
      <c r="C142" s="51"/>
      <c r="D142" s="51"/>
      <c r="E142" s="51"/>
      <c r="F142" s="51"/>
      <c r="G142" s="51"/>
      <c r="H142" s="51"/>
      <c r="I142" s="51"/>
      <c r="J142" s="37"/>
      <c r="K142" s="37"/>
      <c r="L142" s="37"/>
      <c r="M142" s="37"/>
      <c r="N142" s="37"/>
      <c r="O142" s="37"/>
      <c r="P142" s="37"/>
    </row>
    <row r="143" spans="1:16" s="5" customFormat="1" ht="14" customHeight="1">
      <c r="A143" s="46"/>
      <c r="B143" s="11"/>
      <c r="C143" s="51"/>
      <c r="D143" s="51"/>
      <c r="E143" s="51"/>
      <c r="F143" s="51"/>
      <c r="G143" s="51"/>
      <c r="H143" s="51"/>
      <c r="I143" s="51"/>
      <c r="J143" s="37"/>
      <c r="K143" s="37"/>
      <c r="L143" s="37"/>
      <c r="M143" s="37"/>
      <c r="N143" s="37"/>
      <c r="O143" s="37"/>
      <c r="P143" s="37"/>
    </row>
    <row r="144" spans="1:16" s="5" customFormat="1" ht="14" customHeight="1">
      <c r="A144" s="46"/>
      <c r="B144" s="11"/>
      <c r="C144" s="51"/>
      <c r="D144" s="51"/>
      <c r="E144" s="51"/>
      <c r="F144" s="51"/>
      <c r="G144" s="51"/>
      <c r="H144" s="51"/>
      <c r="I144" s="51"/>
      <c r="J144" s="37"/>
      <c r="K144" s="37"/>
      <c r="L144" s="37"/>
      <c r="M144" s="37"/>
      <c r="N144" s="37"/>
      <c r="O144" s="37"/>
      <c r="P144" s="37"/>
    </row>
    <row r="145" spans="1:16" s="5" customFormat="1" ht="14" customHeight="1">
      <c r="A145" s="4"/>
      <c r="B145" s="11"/>
      <c r="C145" s="52"/>
      <c r="D145" s="40"/>
      <c r="E145" s="52"/>
      <c r="F145" s="52"/>
      <c r="G145" s="52"/>
      <c r="H145" s="52"/>
      <c r="I145" s="52"/>
      <c r="J145" s="37"/>
      <c r="K145" s="37"/>
      <c r="L145" s="37"/>
      <c r="M145" s="37"/>
      <c r="N145" s="37"/>
      <c r="O145" s="37"/>
      <c r="P145" s="37"/>
    </row>
    <row r="146" spans="1:16" s="5" customFormat="1" ht="14" customHeight="1">
      <c r="A146" s="10"/>
      <c r="B146" s="11"/>
      <c r="C146" s="41"/>
      <c r="D146" s="41"/>
      <c r="E146" s="41"/>
      <c r="F146" s="41"/>
      <c r="G146" s="41"/>
      <c r="H146" s="41"/>
      <c r="I146" s="41"/>
      <c r="J146" s="37"/>
      <c r="K146" s="37"/>
      <c r="L146" s="37"/>
      <c r="M146" s="37"/>
      <c r="N146" s="37"/>
      <c r="O146" s="37"/>
      <c r="P146" s="37"/>
    </row>
    <row r="147" spans="1:16" s="5" customFormat="1" ht="14" customHeight="1">
      <c r="A147" s="10"/>
      <c r="B147" s="11"/>
      <c r="C147" s="41"/>
      <c r="D147" s="41"/>
      <c r="E147" s="41"/>
      <c r="F147" s="41"/>
      <c r="G147" s="41"/>
      <c r="H147" s="41"/>
      <c r="I147" s="41"/>
      <c r="J147" s="37"/>
      <c r="K147" s="37"/>
      <c r="L147" s="37"/>
      <c r="M147" s="37"/>
      <c r="N147" s="37"/>
      <c r="O147" s="37"/>
      <c r="P147" s="37"/>
    </row>
    <row r="148" spans="1:16" s="5" customFormat="1" ht="14" customHeight="1">
      <c r="A148" s="46"/>
      <c r="B148" s="11"/>
      <c r="C148" s="51"/>
      <c r="D148" s="51"/>
      <c r="E148" s="51"/>
      <c r="F148" s="51"/>
      <c r="G148" s="51"/>
      <c r="H148" s="51"/>
      <c r="I148" s="51"/>
      <c r="J148" s="37"/>
      <c r="K148" s="37"/>
      <c r="L148" s="37"/>
      <c r="M148" s="37"/>
      <c r="N148" s="37"/>
      <c r="O148" s="37"/>
      <c r="P148" s="37"/>
    </row>
    <row r="149" spans="1:16" s="5" customFormat="1" ht="14" customHeight="1">
      <c r="A149" s="46"/>
      <c r="B149" s="11"/>
      <c r="C149" s="51"/>
      <c r="D149" s="51"/>
      <c r="E149" s="51"/>
      <c r="F149" s="51"/>
      <c r="G149" s="51"/>
      <c r="H149" s="51"/>
      <c r="I149" s="51"/>
      <c r="J149" s="37"/>
      <c r="K149" s="37"/>
      <c r="L149" s="37"/>
      <c r="M149" s="37"/>
      <c r="N149" s="37"/>
      <c r="O149" s="37"/>
      <c r="P149" s="37"/>
    </row>
    <row r="150" spans="1:16" s="5" customFormat="1" ht="14" customHeight="1">
      <c r="A150" s="46"/>
      <c r="B150" s="11"/>
      <c r="C150" s="51"/>
      <c r="D150" s="51"/>
      <c r="E150" s="51"/>
      <c r="F150" s="51"/>
      <c r="G150" s="51"/>
      <c r="H150" s="51"/>
      <c r="I150" s="51"/>
      <c r="J150" s="37"/>
      <c r="K150" s="37"/>
      <c r="L150" s="37"/>
      <c r="M150" s="37"/>
      <c r="N150" s="37"/>
      <c r="O150" s="37"/>
      <c r="P150" s="37"/>
    </row>
    <row r="151" spans="1:16" s="5" customFormat="1" ht="14" customHeight="1">
      <c r="A151" s="4"/>
      <c r="B151" s="11"/>
      <c r="C151" s="52"/>
      <c r="D151" s="52"/>
      <c r="E151" s="52"/>
      <c r="F151" s="52"/>
      <c r="G151" s="52"/>
      <c r="H151" s="52"/>
      <c r="I151" s="52"/>
      <c r="J151" s="37"/>
      <c r="K151" s="37"/>
      <c r="L151" s="37"/>
      <c r="M151" s="37"/>
      <c r="N151" s="37"/>
      <c r="O151" s="37"/>
      <c r="P151" s="37"/>
    </row>
    <row r="152" spans="1:16" s="5" customFormat="1" ht="14" customHeight="1">
      <c r="A152" s="4"/>
      <c r="B152" s="11"/>
      <c r="C152" s="41"/>
      <c r="D152" s="53"/>
      <c r="E152" s="53"/>
      <c r="F152" s="54"/>
      <c r="G152" s="37"/>
      <c r="H152" s="37"/>
      <c r="I152" s="37"/>
      <c r="J152" s="37"/>
      <c r="K152" s="37"/>
      <c r="L152" s="37"/>
      <c r="M152" s="37"/>
      <c r="N152" s="37"/>
    </row>
    <row r="153" spans="1:16" s="5" customFormat="1" ht="14" customHeight="1">
      <c r="A153" s="18"/>
      <c r="B153" s="18"/>
    </row>
    <row r="154" spans="1:16" s="5" customFormat="1" ht="14" customHeight="1">
      <c r="A154" s="18"/>
      <c r="B154" s="18"/>
    </row>
    <row r="155" spans="1:16" s="5" customFormat="1" ht="14" customHeight="1">
      <c r="A155" s="19"/>
      <c r="B155" s="8"/>
      <c r="C155" s="8"/>
      <c r="D155" s="44"/>
    </row>
    <row r="156" spans="1:16" s="5" customFormat="1" ht="14" customHeight="1">
      <c r="A156" s="55"/>
      <c r="B156" s="8"/>
      <c r="C156" s="56"/>
    </row>
    <row r="157" spans="1:16" s="5" customFormat="1" ht="14" customHeight="1">
      <c r="A157" s="55"/>
      <c r="B157" s="8"/>
      <c r="C157" s="56"/>
    </row>
    <row r="158" spans="1:16" s="5" customFormat="1" ht="14" customHeight="1">
      <c r="A158" s="55"/>
      <c r="B158" s="8"/>
      <c r="C158" s="56"/>
    </row>
    <row r="159" spans="1:16" s="5" customFormat="1" ht="14" customHeight="1">
      <c r="A159" s="57"/>
      <c r="B159" s="8"/>
      <c r="C159" s="36"/>
      <c r="D159" s="42"/>
    </row>
    <row r="160" spans="1:16" s="5" customFormat="1" ht="14" customHeight="1">
      <c r="A160" s="42"/>
      <c r="B160" s="42"/>
    </row>
    <row r="161" spans="1:6" s="5" customFormat="1" ht="14" customHeight="1">
      <c r="A161" s="10"/>
      <c r="B161" s="8"/>
      <c r="C161" s="45"/>
      <c r="D161" s="8"/>
      <c r="E161" s="8"/>
      <c r="F161" s="8"/>
    </row>
    <row r="162" spans="1:6" s="5" customFormat="1" ht="14" customHeight="1">
      <c r="A162" s="10"/>
      <c r="B162" s="8"/>
      <c r="C162" s="8"/>
      <c r="D162" s="8"/>
      <c r="E162" s="8"/>
      <c r="F162" s="8"/>
    </row>
    <row r="163" spans="1:6" s="5" customFormat="1" ht="14" customHeight="1">
      <c r="A163" s="46"/>
      <c r="B163" s="11"/>
      <c r="C163" s="41"/>
      <c r="D163" s="11"/>
      <c r="E163" s="56"/>
      <c r="F163" s="56"/>
    </row>
    <row r="164" spans="1:6" s="5" customFormat="1" ht="14" customHeight="1">
      <c r="A164" s="46"/>
      <c r="B164" s="11"/>
      <c r="C164" s="41"/>
      <c r="D164" s="11"/>
      <c r="E164" s="56"/>
      <c r="F164" s="56"/>
    </row>
    <row r="165" spans="1:6" s="5" customFormat="1" ht="14" customHeight="1">
      <c r="A165" s="46"/>
      <c r="B165" s="11"/>
      <c r="C165" s="41"/>
      <c r="D165" s="11"/>
      <c r="E165" s="56"/>
      <c r="F165" s="56"/>
    </row>
    <row r="166" spans="1:6" s="5" customFormat="1" ht="14" customHeight="1">
      <c r="A166" s="4"/>
      <c r="B166" s="8"/>
      <c r="C166" s="40"/>
      <c r="D166" s="8"/>
      <c r="E166" s="36"/>
      <c r="F166" s="36"/>
    </row>
    <row r="167" spans="1:6" s="5" customFormat="1" ht="14" customHeight="1">
      <c r="A167" s="10"/>
      <c r="B167" s="8"/>
      <c r="C167" s="40"/>
      <c r="D167" s="8"/>
      <c r="E167" s="36"/>
      <c r="F167" s="36"/>
    </row>
    <row r="168" spans="1:6" s="5" customFormat="1" ht="14" customHeight="1">
      <c r="A168" s="10"/>
      <c r="B168" s="8"/>
      <c r="C168" s="45"/>
    </row>
    <row r="169" spans="1:6" s="5" customFormat="1" ht="14" customHeight="1">
      <c r="A169" s="10"/>
      <c r="B169" s="8"/>
      <c r="C169" s="8"/>
    </row>
    <row r="170" spans="1:6" s="5" customFormat="1" ht="14" customHeight="1">
      <c r="A170" s="46"/>
      <c r="B170" s="11"/>
      <c r="C170" s="41"/>
    </row>
    <row r="171" spans="1:6" s="5" customFormat="1" ht="14" customHeight="1">
      <c r="A171" s="46"/>
      <c r="B171" s="11"/>
      <c r="C171" s="41"/>
    </row>
    <row r="172" spans="1:6" s="5" customFormat="1" ht="14" customHeight="1">
      <c r="A172" s="46"/>
      <c r="B172" s="11"/>
      <c r="C172" s="41"/>
    </row>
    <row r="173" spans="1:6" s="5" customFormat="1" ht="14" customHeight="1">
      <c r="A173" s="4"/>
      <c r="B173" s="8"/>
      <c r="C173" s="40"/>
    </row>
    <row r="174" spans="1:6" s="5" customFormat="1" ht="14" customHeight="1">
      <c r="A174" s="10"/>
      <c r="B174" s="8"/>
      <c r="C174" s="40"/>
      <c r="D174" s="8"/>
      <c r="E174" s="36"/>
      <c r="F174" s="36"/>
    </row>
    <row r="175" spans="1:6" s="5" customFormat="1" ht="14" customHeight="1">
      <c r="A175" s="18"/>
      <c r="B175" s="18"/>
    </row>
    <row r="176" spans="1:6" s="5" customFormat="1" ht="14" customHeight="1">
      <c r="A176" s="10"/>
      <c r="B176" s="42"/>
    </row>
    <row r="177" spans="1:37" s="5" customFormat="1" ht="14" customHeight="1">
      <c r="A177" s="10"/>
      <c r="B177" s="42"/>
    </row>
    <row r="178" spans="1:37" s="5" customFormat="1" ht="14" customHeight="1">
      <c r="A178" s="14"/>
      <c r="B178" s="58"/>
      <c r="C178" s="59"/>
      <c r="D178" s="59"/>
      <c r="E178" s="59"/>
      <c r="F178" s="59"/>
      <c r="G178" s="14"/>
      <c r="H178" s="14"/>
      <c r="I178" s="14"/>
      <c r="J178" s="14"/>
      <c r="K178" s="14"/>
      <c r="L178" s="14"/>
      <c r="M178" s="14"/>
      <c r="N178" s="14"/>
      <c r="O178" s="14"/>
      <c r="P178" s="14"/>
      <c r="Q178" s="14"/>
      <c r="R178" s="14"/>
      <c r="S178" s="14"/>
      <c r="T178" s="14"/>
      <c r="U178" s="14"/>
      <c r="V178" s="14"/>
      <c r="W178" s="14"/>
      <c r="X178" s="14"/>
      <c r="Y178" s="14"/>
      <c r="Z178" s="13"/>
      <c r="AA178" s="13"/>
      <c r="AB178" s="13"/>
      <c r="AC178" s="13"/>
      <c r="AD178" s="13"/>
      <c r="AE178" s="13"/>
      <c r="AF178" s="13"/>
      <c r="AG178" s="13"/>
      <c r="AH178" s="13"/>
      <c r="AI178" s="13"/>
      <c r="AJ178" s="13"/>
      <c r="AK178" s="13"/>
    </row>
    <row r="179" spans="1:37" s="5" customFormat="1" ht="14" customHeight="1">
      <c r="A179" s="58"/>
      <c r="B179" s="58"/>
      <c r="C179" s="58"/>
      <c r="D179" s="58"/>
      <c r="E179" s="58"/>
      <c r="F179" s="58"/>
      <c r="L179" s="14"/>
      <c r="M179" s="14"/>
      <c r="N179" s="14"/>
      <c r="O179" s="14"/>
      <c r="P179" s="14"/>
      <c r="Q179" s="14"/>
      <c r="R179" s="14"/>
      <c r="S179" s="14"/>
      <c r="T179" s="14"/>
      <c r="U179" s="14"/>
      <c r="V179" s="14"/>
      <c r="W179" s="14"/>
      <c r="X179" s="14"/>
      <c r="Y179" s="14"/>
      <c r="Z179" s="13"/>
      <c r="AA179" s="13"/>
      <c r="AB179" s="13"/>
      <c r="AC179" s="13"/>
      <c r="AD179" s="13"/>
      <c r="AE179" s="13"/>
      <c r="AF179" s="13"/>
      <c r="AG179" s="13"/>
      <c r="AH179" s="13"/>
      <c r="AI179" s="13"/>
      <c r="AJ179" s="13"/>
      <c r="AK179" s="13"/>
    </row>
    <row r="180" spans="1:37" s="5" customFormat="1" ht="14" customHeight="1">
      <c r="A180" s="14"/>
      <c r="B180" s="60"/>
      <c r="C180" s="61"/>
      <c r="D180" s="62"/>
      <c r="E180" s="61"/>
      <c r="F180" s="61"/>
      <c r="L180" s="14"/>
      <c r="M180" s="14"/>
      <c r="N180" s="14"/>
      <c r="O180" s="14"/>
      <c r="P180" s="14"/>
      <c r="Q180" s="14"/>
      <c r="R180" s="14"/>
      <c r="S180" s="14"/>
      <c r="T180" s="14"/>
      <c r="U180" s="14"/>
      <c r="V180" s="14"/>
      <c r="W180" s="14"/>
      <c r="X180" s="14"/>
      <c r="Y180" s="14"/>
      <c r="Z180" s="13"/>
      <c r="AA180" s="13"/>
      <c r="AB180" s="13"/>
      <c r="AC180" s="13"/>
      <c r="AD180" s="13"/>
      <c r="AE180" s="13"/>
      <c r="AF180" s="13"/>
      <c r="AG180" s="13"/>
      <c r="AH180" s="13"/>
      <c r="AI180" s="13"/>
      <c r="AJ180" s="13"/>
      <c r="AK180" s="13"/>
    </row>
    <row r="181" spans="1:37" s="5" customFormat="1" ht="14" customHeight="1">
      <c r="A181" s="63"/>
      <c r="B181" s="60"/>
      <c r="C181" s="64"/>
      <c r="D181" s="65"/>
      <c r="E181" s="66"/>
      <c r="F181" s="64"/>
      <c r="L181" s="14"/>
      <c r="M181" s="14"/>
      <c r="N181" s="14"/>
      <c r="O181" s="14"/>
      <c r="P181" s="14"/>
      <c r="Q181" s="14"/>
      <c r="R181" s="14"/>
      <c r="S181" s="14"/>
      <c r="T181" s="14"/>
      <c r="U181" s="14"/>
      <c r="V181" s="14"/>
      <c r="W181" s="14"/>
      <c r="X181" s="14"/>
      <c r="Y181" s="14"/>
      <c r="Z181" s="13"/>
      <c r="AA181" s="13"/>
      <c r="AB181" s="13"/>
      <c r="AC181" s="13"/>
      <c r="AD181" s="13"/>
      <c r="AE181" s="13"/>
      <c r="AF181" s="13"/>
      <c r="AG181" s="13"/>
      <c r="AH181" s="13"/>
      <c r="AI181" s="13"/>
      <c r="AJ181" s="13"/>
      <c r="AK181" s="13"/>
    </row>
    <row r="182" spans="1:37" s="5" customFormat="1" ht="14" customHeight="1">
      <c r="A182" s="63"/>
      <c r="B182" s="60"/>
      <c r="C182" s="64"/>
      <c r="D182" s="65"/>
      <c r="E182" s="66"/>
      <c r="F182" s="64"/>
      <c r="L182" s="14"/>
      <c r="M182" s="14"/>
      <c r="N182" s="14"/>
      <c r="O182" s="14"/>
      <c r="P182" s="14"/>
      <c r="Q182" s="14"/>
      <c r="R182" s="14"/>
      <c r="S182" s="14"/>
      <c r="T182" s="14"/>
      <c r="U182" s="14"/>
      <c r="V182" s="14"/>
      <c r="W182" s="14"/>
      <c r="X182" s="14"/>
      <c r="Y182" s="14"/>
      <c r="Z182" s="13"/>
      <c r="AA182" s="13"/>
      <c r="AB182" s="13"/>
      <c r="AC182" s="13"/>
      <c r="AD182" s="13"/>
      <c r="AE182" s="13"/>
      <c r="AF182" s="13"/>
      <c r="AG182" s="13"/>
      <c r="AH182" s="13"/>
      <c r="AI182" s="13"/>
      <c r="AJ182" s="13"/>
      <c r="AK182" s="13"/>
    </row>
    <row r="183" spans="1:37" s="5" customFormat="1" ht="14" customHeight="1">
      <c r="A183" s="63"/>
      <c r="B183" s="60"/>
      <c r="C183" s="67"/>
      <c r="D183" s="68"/>
      <c r="E183" s="66"/>
      <c r="F183" s="64"/>
      <c r="L183" s="14"/>
      <c r="M183" s="14"/>
      <c r="N183" s="14"/>
      <c r="O183" s="14"/>
      <c r="P183" s="14"/>
      <c r="Q183" s="14"/>
      <c r="R183" s="14"/>
      <c r="S183" s="14"/>
      <c r="T183" s="14"/>
      <c r="U183" s="14"/>
      <c r="V183" s="14"/>
      <c r="W183" s="14"/>
      <c r="X183" s="14"/>
      <c r="Y183" s="14"/>
      <c r="Z183" s="13"/>
      <c r="AA183" s="13"/>
      <c r="AB183" s="13"/>
      <c r="AC183" s="13"/>
      <c r="AD183" s="13"/>
      <c r="AE183" s="13"/>
      <c r="AF183" s="13"/>
      <c r="AG183" s="13"/>
      <c r="AH183" s="13"/>
      <c r="AI183" s="13"/>
      <c r="AJ183" s="13"/>
      <c r="AK183" s="13"/>
    </row>
    <row r="184" spans="1:37" s="5" customFormat="1" ht="14" customHeight="1">
      <c r="A184" s="14"/>
      <c r="B184" s="60"/>
      <c r="C184" s="69"/>
      <c r="D184" s="62"/>
      <c r="E184" s="61"/>
      <c r="F184" s="61"/>
      <c r="L184" s="14"/>
      <c r="M184" s="14"/>
      <c r="N184" s="14"/>
      <c r="O184" s="14"/>
      <c r="P184" s="14"/>
      <c r="Q184" s="14"/>
      <c r="R184" s="14"/>
      <c r="S184" s="14"/>
      <c r="T184" s="14"/>
      <c r="U184" s="14"/>
      <c r="V184" s="14"/>
      <c r="W184" s="14"/>
      <c r="X184" s="14"/>
      <c r="Y184" s="14"/>
      <c r="Z184" s="13"/>
      <c r="AA184" s="13"/>
      <c r="AB184" s="13"/>
      <c r="AC184" s="13"/>
      <c r="AD184" s="13"/>
      <c r="AE184" s="13"/>
      <c r="AF184" s="13"/>
      <c r="AG184" s="13"/>
      <c r="AH184" s="13"/>
      <c r="AI184" s="13"/>
      <c r="AJ184" s="13"/>
      <c r="AK184" s="13"/>
    </row>
    <row r="185" spans="1:37" s="5" customFormat="1" ht="14" customHeight="1">
      <c r="A185" s="70"/>
      <c r="B185" s="60"/>
      <c r="C185" s="71"/>
      <c r="D185" s="72"/>
      <c r="E185" s="73"/>
      <c r="F185" s="73"/>
      <c r="L185" s="14"/>
      <c r="M185" s="14"/>
      <c r="N185" s="14"/>
      <c r="O185" s="14"/>
      <c r="P185" s="14"/>
      <c r="Q185" s="14"/>
      <c r="R185" s="14"/>
      <c r="S185" s="14"/>
      <c r="T185" s="14"/>
      <c r="U185" s="14"/>
      <c r="V185" s="14"/>
      <c r="W185" s="14"/>
      <c r="X185" s="14"/>
      <c r="Y185" s="14"/>
      <c r="Z185" s="13"/>
      <c r="AA185" s="13"/>
      <c r="AB185" s="13"/>
      <c r="AC185" s="13"/>
      <c r="AD185" s="13"/>
      <c r="AE185" s="13"/>
      <c r="AF185" s="13"/>
      <c r="AG185" s="13"/>
      <c r="AH185" s="13"/>
      <c r="AI185" s="13"/>
      <c r="AJ185" s="13"/>
      <c r="AK185" s="13"/>
    </row>
    <row r="186" spans="1:37" s="5" customFormat="1" ht="14" customHeight="1">
      <c r="A186" s="74"/>
      <c r="B186" s="75"/>
      <c r="C186" s="71"/>
      <c r="D186" s="72"/>
      <c r="E186" s="73"/>
      <c r="F186" s="73"/>
      <c r="L186" s="14"/>
      <c r="M186" s="14"/>
      <c r="N186" s="14"/>
      <c r="O186" s="14"/>
      <c r="P186" s="14"/>
      <c r="Q186" s="14"/>
      <c r="R186" s="14"/>
      <c r="S186" s="14"/>
      <c r="T186" s="14"/>
      <c r="U186" s="14"/>
      <c r="V186" s="14"/>
      <c r="W186" s="14"/>
      <c r="X186" s="14"/>
      <c r="Y186" s="14"/>
      <c r="Z186" s="13"/>
      <c r="AA186" s="13"/>
      <c r="AB186" s="13"/>
      <c r="AC186" s="13"/>
      <c r="AD186" s="13"/>
      <c r="AE186" s="13"/>
      <c r="AF186" s="13"/>
      <c r="AG186" s="13"/>
      <c r="AH186" s="13"/>
      <c r="AI186" s="13"/>
      <c r="AJ186" s="13"/>
      <c r="AK186" s="13"/>
    </row>
    <row r="187" spans="1:37" s="5" customFormat="1" ht="14" customHeight="1">
      <c r="A187" s="74"/>
      <c r="B187" s="75"/>
      <c r="C187" s="71"/>
      <c r="D187" s="72"/>
      <c r="E187" s="71"/>
      <c r="F187" s="73"/>
      <c r="L187" s="14"/>
      <c r="M187" s="14"/>
      <c r="N187" s="14"/>
      <c r="O187" s="14"/>
      <c r="P187" s="14"/>
      <c r="Q187" s="14"/>
      <c r="R187" s="14"/>
      <c r="S187" s="14"/>
      <c r="T187" s="14"/>
      <c r="U187" s="14"/>
      <c r="V187" s="14"/>
      <c r="W187" s="14"/>
      <c r="X187" s="14"/>
      <c r="Y187" s="14"/>
      <c r="Z187" s="13"/>
      <c r="AA187" s="13"/>
      <c r="AB187" s="13"/>
      <c r="AC187" s="13"/>
      <c r="AD187" s="13"/>
      <c r="AE187" s="13"/>
      <c r="AF187" s="13"/>
      <c r="AG187" s="13"/>
      <c r="AH187" s="13"/>
      <c r="AI187" s="13"/>
      <c r="AJ187" s="13"/>
      <c r="AK187" s="13"/>
    </row>
    <row r="188" spans="1:37" s="5" customFormat="1" ht="14" customHeight="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3"/>
      <c r="AA188" s="13"/>
      <c r="AB188" s="13"/>
      <c r="AC188" s="13"/>
      <c r="AD188" s="13"/>
      <c r="AE188" s="13"/>
      <c r="AF188" s="13"/>
      <c r="AG188" s="13"/>
      <c r="AH188" s="13"/>
      <c r="AI188" s="13"/>
      <c r="AJ188" s="13"/>
      <c r="AK188" s="13"/>
    </row>
    <row r="189" spans="1:37" s="5" customFormat="1" ht="14" customHeight="1">
      <c r="A189" s="70"/>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3"/>
      <c r="AA189" s="13"/>
      <c r="AB189" s="13"/>
      <c r="AC189" s="13"/>
      <c r="AD189" s="13"/>
      <c r="AE189" s="13"/>
      <c r="AF189" s="13"/>
      <c r="AG189" s="13"/>
      <c r="AH189" s="13"/>
      <c r="AI189" s="13"/>
      <c r="AJ189" s="13"/>
      <c r="AK189" s="13"/>
    </row>
    <row r="190" spans="1:37" s="5" customFormat="1" ht="14" customHeight="1">
      <c r="A190" s="14"/>
      <c r="B190" s="14"/>
      <c r="C190" s="59"/>
      <c r="D190" s="59"/>
      <c r="E190" s="59"/>
      <c r="F190" s="59"/>
      <c r="G190" s="14"/>
      <c r="H190" s="76"/>
      <c r="I190" s="14"/>
      <c r="J190" s="14"/>
      <c r="K190" s="14"/>
      <c r="L190" s="14"/>
      <c r="M190" s="14"/>
      <c r="N190" s="14"/>
      <c r="O190" s="14"/>
      <c r="P190" s="14"/>
      <c r="Q190" s="14"/>
      <c r="R190" s="14"/>
      <c r="S190" s="14"/>
      <c r="T190" s="14"/>
      <c r="U190" s="14"/>
      <c r="V190" s="14"/>
      <c r="W190" s="14"/>
      <c r="X190" s="14"/>
      <c r="Y190" s="14"/>
      <c r="Z190" s="13"/>
      <c r="AA190" s="13"/>
      <c r="AB190" s="13"/>
      <c r="AC190" s="13"/>
      <c r="AD190" s="13"/>
      <c r="AE190" s="13"/>
      <c r="AF190" s="13"/>
      <c r="AG190" s="13"/>
      <c r="AH190" s="13"/>
      <c r="AI190" s="13"/>
      <c r="AJ190" s="13"/>
      <c r="AK190" s="13"/>
    </row>
    <row r="191" spans="1:37" s="5" customFormat="1" ht="14" customHeight="1">
      <c r="A191" s="58"/>
      <c r="B191" s="58"/>
      <c r="C191" s="58"/>
      <c r="D191" s="58"/>
      <c r="E191" s="58"/>
      <c r="F191" s="58"/>
      <c r="G191" s="58"/>
      <c r="H191" s="58"/>
      <c r="I191" s="14"/>
      <c r="J191" s="14"/>
      <c r="K191" s="14"/>
      <c r="L191" s="14"/>
      <c r="M191" s="14"/>
      <c r="N191" s="14"/>
      <c r="O191" s="14"/>
      <c r="P191" s="14"/>
      <c r="Q191" s="14"/>
      <c r="R191" s="14"/>
      <c r="S191" s="14"/>
      <c r="T191" s="14"/>
      <c r="U191" s="14"/>
      <c r="V191" s="14"/>
      <c r="W191" s="14"/>
      <c r="X191" s="14"/>
      <c r="Y191" s="14"/>
      <c r="Z191" s="13"/>
      <c r="AA191" s="13"/>
      <c r="AB191" s="13"/>
      <c r="AC191" s="13"/>
      <c r="AD191" s="13"/>
      <c r="AE191" s="13"/>
      <c r="AF191" s="13"/>
      <c r="AG191" s="13"/>
      <c r="AH191" s="13"/>
      <c r="AI191" s="13"/>
      <c r="AJ191" s="13"/>
      <c r="AK191" s="13"/>
    </row>
    <row r="192" spans="1:37" s="5" customFormat="1" ht="14" customHeight="1">
      <c r="A192" s="14"/>
      <c r="B192" s="60"/>
      <c r="C192" s="69"/>
      <c r="D192" s="62"/>
      <c r="E192" s="61"/>
      <c r="F192" s="69"/>
      <c r="G192" s="14"/>
      <c r="H192" s="14"/>
      <c r="I192" s="14"/>
      <c r="J192" s="14"/>
      <c r="K192" s="14"/>
      <c r="L192" s="14"/>
      <c r="M192" s="14"/>
      <c r="N192" s="14"/>
      <c r="O192" s="14"/>
      <c r="P192" s="14"/>
      <c r="Q192" s="14"/>
      <c r="R192" s="14"/>
      <c r="S192" s="14"/>
      <c r="T192" s="14"/>
      <c r="U192" s="14"/>
      <c r="V192" s="14"/>
      <c r="W192" s="14"/>
      <c r="X192" s="14"/>
      <c r="Y192" s="14"/>
      <c r="Z192" s="13"/>
      <c r="AA192" s="13"/>
      <c r="AB192" s="13"/>
      <c r="AC192" s="13"/>
      <c r="AD192" s="13"/>
      <c r="AE192" s="13"/>
      <c r="AF192" s="13"/>
      <c r="AG192" s="13"/>
      <c r="AH192" s="13"/>
      <c r="AI192" s="13"/>
      <c r="AJ192" s="13"/>
      <c r="AK192" s="13"/>
    </row>
    <row r="193" spans="1:37" s="5" customFormat="1" ht="14" customHeight="1">
      <c r="A193" s="63"/>
      <c r="B193" s="60"/>
      <c r="C193" s="77"/>
      <c r="D193" s="65"/>
      <c r="E193" s="66"/>
      <c r="F193" s="64"/>
      <c r="G193" s="14"/>
      <c r="H193" s="14"/>
      <c r="I193" s="14"/>
      <c r="J193" s="14"/>
      <c r="K193" s="14"/>
      <c r="L193" s="14"/>
      <c r="M193" s="14"/>
      <c r="N193" s="14"/>
      <c r="O193" s="14"/>
      <c r="P193" s="14"/>
      <c r="Q193" s="14"/>
      <c r="R193" s="14"/>
      <c r="S193" s="14"/>
      <c r="T193" s="14"/>
      <c r="U193" s="14"/>
      <c r="V193" s="14"/>
      <c r="W193" s="14"/>
      <c r="X193" s="14"/>
      <c r="Y193" s="14"/>
      <c r="Z193" s="13"/>
      <c r="AA193" s="13"/>
      <c r="AB193" s="13"/>
      <c r="AC193" s="13"/>
      <c r="AD193" s="13"/>
      <c r="AE193" s="13"/>
      <c r="AF193" s="13"/>
      <c r="AG193" s="13"/>
      <c r="AH193" s="13"/>
      <c r="AI193" s="13"/>
      <c r="AJ193" s="13"/>
      <c r="AK193" s="13"/>
    </row>
    <row r="194" spans="1:37" s="5" customFormat="1" ht="14" customHeight="1">
      <c r="A194" s="63"/>
      <c r="B194" s="60"/>
      <c r="C194" s="77"/>
      <c r="D194" s="65"/>
      <c r="E194" s="66"/>
      <c r="F194" s="64"/>
      <c r="G194" s="14"/>
      <c r="H194" s="14"/>
      <c r="I194" s="14"/>
      <c r="J194" s="14"/>
      <c r="K194" s="14"/>
      <c r="L194" s="14"/>
      <c r="M194" s="14"/>
      <c r="N194" s="14"/>
      <c r="O194" s="14"/>
      <c r="P194" s="14"/>
      <c r="Q194" s="14"/>
      <c r="R194" s="14"/>
      <c r="S194" s="14"/>
      <c r="T194" s="14"/>
      <c r="U194" s="14"/>
      <c r="V194" s="14"/>
      <c r="W194" s="14"/>
      <c r="X194" s="14"/>
      <c r="Y194" s="14"/>
      <c r="Z194" s="13"/>
      <c r="AA194" s="13"/>
      <c r="AB194" s="13"/>
      <c r="AC194" s="13"/>
      <c r="AD194" s="13"/>
      <c r="AE194" s="13"/>
      <c r="AF194" s="13"/>
      <c r="AG194" s="13"/>
      <c r="AH194" s="13"/>
      <c r="AI194" s="13"/>
      <c r="AJ194" s="13"/>
      <c r="AK194" s="13"/>
    </row>
    <row r="195" spans="1:37" s="5" customFormat="1" ht="14" customHeight="1">
      <c r="A195" s="63"/>
      <c r="B195" s="60"/>
      <c r="C195" s="67"/>
      <c r="D195" s="68"/>
      <c r="E195" s="66"/>
      <c r="F195" s="64"/>
      <c r="G195" s="14"/>
      <c r="H195" s="14"/>
      <c r="I195" s="14"/>
      <c r="J195" s="14"/>
      <c r="K195" s="14"/>
      <c r="L195" s="14"/>
      <c r="M195" s="14"/>
      <c r="N195" s="14"/>
      <c r="O195" s="14"/>
      <c r="P195" s="14"/>
      <c r="Q195" s="14"/>
      <c r="R195" s="14"/>
      <c r="S195" s="14"/>
      <c r="T195" s="14"/>
      <c r="U195" s="14"/>
      <c r="V195" s="14"/>
      <c r="W195" s="14"/>
      <c r="X195" s="14"/>
      <c r="Y195" s="14"/>
      <c r="Z195" s="13"/>
      <c r="AA195" s="13"/>
      <c r="AB195" s="13"/>
      <c r="AC195" s="13"/>
      <c r="AD195" s="13"/>
      <c r="AE195" s="13"/>
      <c r="AF195" s="13"/>
      <c r="AG195" s="13"/>
      <c r="AH195" s="13"/>
      <c r="AI195" s="13"/>
      <c r="AJ195" s="13"/>
      <c r="AK195" s="13"/>
    </row>
    <row r="196" spans="1:37" s="5" customFormat="1" ht="14" customHeight="1">
      <c r="A196" s="14"/>
      <c r="B196" s="60"/>
      <c r="C196" s="69"/>
      <c r="D196" s="62"/>
      <c r="E196" s="61"/>
      <c r="F196" s="69"/>
      <c r="G196" s="14"/>
      <c r="H196" s="14"/>
      <c r="I196" s="14"/>
      <c r="J196" s="14"/>
      <c r="K196" s="14"/>
      <c r="L196" s="14"/>
      <c r="M196" s="14"/>
      <c r="N196" s="14"/>
      <c r="O196" s="14"/>
      <c r="P196" s="14"/>
      <c r="Q196" s="14"/>
      <c r="R196" s="14"/>
      <c r="S196" s="14"/>
      <c r="T196" s="14"/>
      <c r="U196" s="14"/>
      <c r="V196" s="14"/>
      <c r="W196" s="14"/>
      <c r="X196" s="14"/>
      <c r="Y196" s="14"/>
      <c r="Z196" s="13"/>
      <c r="AA196" s="13"/>
      <c r="AB196" s="13"/>
      <c r="AC196" s="13"/>
      <c r="AD196" s="13"/>
      <c r="AE196" s="13"/>
      <c r="AF196" s="13"/>
      <c r="AG196" s="13"/>
      <c r="AH196" s="13"/>
      <c r="AI196" s="13"/>
      <c r="AJ196" s="13"/>
      <c r="AK196" s="13"/>
    </row>
    <row r="197" spans="1:37" s="5" customFormat="1" ht="14" customHeight="1">
      <c r="A197" s="70"/>
      <c r="B197" s="60"/>
      <c r="C197" s="71"/>
      <c r="D197" s="72"/>
      <c r="E197" s="73"/>
      <c r="F197" s="71"/>
      <c r="G197" s="14"/>
      <c r="H197" s="14"/>
      <c r="I197" s="14"/>
      <c r="J197" s="14"/>
      <c r="K197" s="14"/>
      <c r="L197" s="14"/>
      <c r="M197" s="14"/>
      <c r="N197" s="14"/>
      <c r="O197" s="14"/>
      <c r="P197" s="14"/>
      <c r="Q197" s="14"/>
      <c r="R197" s="14"/>
      <c r="S197" s="14"/>
      <c r="T197" s="14"/>
      <c r="U197" s="14"/>
      <c r="V197" s="14"/>
      <c r="W197" s="14"/>
      <c r="X197" s="14"/>
      <c r="Y197" s="14"/>
      <c r="Z197" s="13"/>
      <c r="AA197" s="13"/>
      <c r="AB197" s="13"/>
      <c r="AC197" s="13"/>
      <c r="AD197" s="13"/>
      <c r="AE197" s="13"/>
      <c r="AF197" s="13"/>
      <c r="AG197" s="13"/>
      <c r="AH197" s="13"/>
      <c r="AI197" s="13"/>
      <c r="AJ197" s="13"/>
      <c r="AK197" s="13"/>
    </row>
    <row r="198" spans="1:37" s="5" customFormat="1" ht="14" customHeight="1">
      <c r="A198" s="74"/>
      <c r="B198" s="75"/>
      <c r="C198" s="59"/>
      <c r="D198" s="72"/>
      <c r="E198" s="59"/>
      <c r="F198" s="71"/>
      <c r="G198" s="14"/>
      <c r="H198" s="14"/>
      <c r="I198" s="14"/>
      <c r="J198" s="14"/>
      <c r="K198" s="14"/>
      <c r="L198" s="14"/>
      <c r="M198" s="14"/>
      <c r="N198" s="14"/>
      <c r="O198" s="14"/>
      <c r="P198" s="14"/>
      <c r="Q198" s="14"/>
      <c r="R198" s="14"/>
      <c r="S198" s="14"/>
      <c r="T198" s="14"/>
      <c r="U198" s="14"/>
      <c r="V198" s="14"/>
      <c r="W198" s="14"/>
      <c r="X198" s="14"/>
      <c r="Y198" s="14"/>
      <c r="Z198" s="13"/>
      <c r="AA198" s="13"/>
      <c r="AB198" s="13"/>
      <c r="AC198" s="13"/>
      <c r="AD198" s="13"/>
      <c r="AE198" s="13"/>
      <c r="AF198" s="13"/>
      <c r="AG198" s="13"/>
      <c r="AH198" s="13"/>
      <c r="AI198" s="13"/>
      <c r="AJ198" s="13"/>
      <c r="AK198" s="13"/>
    </row>
    <row r="199" spans="1:37" s="5" customFormat="1" ht="14" customHeight="1">
      <c r="A199" s="74"/>
      <c r="B199" s="75"/>
      <c r="C199" s="59"/>
      <c r="D199" s="72"/>
      <c r="E199" s="59"/>
      <c r="F199" s="71"/>
      <c r="G199" s="14"/>
      <c r="H199" s="14"/>
      <c r="I199" s="14"/>
      <c r="J199" s="14"/>
      <c r="K199" s="14"/>
      <c r="L199" s="14"/>
      <c r="M199" s="14"/>
      <c r="N199" s="14"/>
      <c r="O199" s="14"/>
      <c r="P199" s="14"/>
      <c r="Q199" s="14"/>
      <c r="R199" s="14"/>
      <c r="S199" s="14"/>
      <c r="T199" s="14"/>
      <c r="U199" s="14"/>
      <c r="V199" s="14"/>
      <c r="W199" s="14"/>
      <c r="X199" s="14"/>
      <c r="Y199" s="14"/>
      <c r="Z199" s="13"/>
      <c r="AA199" s="13"/>
      <c r="AB199" s="13"/>
      <c r="AC199" s="13"/>
      <c r="AD199" s="13"/>
      <c r="AE199" s="13"/>
      <c r="AF199" s="13"/>
      <c r="AG199" s="13"/>
      <c r="AH199" s="13"/>
      <c r="AI199" s="13"/>
      <c r="AJ199" s="13"/>
      <c r="AK199" s="13"/>
    </row>
    <row r="200" spans="1:37" s="5" customFormat="1" ht="14" customHeight="1">
      <c r="A200" s="14"/>
      <c r="B200" s="14"/>
      <c r="C200" s="14"/>
      <c r="D200" s="14"/>
      <c r="E200" s="14"/>
      <c r="F200" s="78"/>
      <c r="G200" s="14"/>
      <c r="H200" s="14"/>
      <c r="I200" s="14"/>
      <c r="J200" s="14"/>
      <c r="K200" s="14"/>
      <c r="L200" s="14"/>
      <c r="M200" s="14"/>
      <c r="N200" s="14"/>
      <c r="O200" s="14"/>
      <c r="P200" s="14"/>
      <c r="Q200" s="14"/>
      <c r="R200" s="14"/>
      <c r="S200" s="14"/>
      <c r="T200" s="14"/>
      <c r="U200" s="14"/>
      <c r="V200" s="14"/>
      <c r="W200" s="14"/>
      <c r="X200" s="14"/>
      <c r="Y200" s="14"/>
      <c r="Z200" s="13"/>
      <c r="AA200" s="13"/>
      <c r="AB200" s="13"/>
      <c r="AC200" s="13"/>
      <c r="AD200" s="13"/>
      <c r="AE200" s="13"/>
      <c r="AF200" s="13"/>
      <c r="AG200" s="13"/>
      <c r="AH200" s="13"/>
      <c r="AI200" s="13"/>
      <c r="AJ200" s="13"/>
      <c r="AK200" s="13"/>
    </row>
    <row r="201" spans="1:37" s="5" customFormat="1" ht="14" customHeight="1">
      <c r="A201" s="70"/>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3"/>
      <c r="AA201" s="13"/>
      <c r="AB201" s="13"/>
      <c r="AC201" s="13"/>
      <c r="AD201" s="13"/>
      <c r="AE201" s="13"/>
      <c r="AF201" s="13"/>
      <c r="AG201" s="13"/>
      <c r="AH201" s="13"/>
      <c r="AI201" s="13"/>
      <c r="AJ201" s="13"/>
      <c r="AK201" s="13"/>
    </row>
    <row r="202" spans="1:37" s="5" customFormat="1" ht="14" customHeight="1">
      <c r="A202" s="14"/>
      <c r="B202" s="14"/>
      <c r="C202" s="59"/>
      <c r="D202" s="59"/>
      <c r="E202" s="59"/>
      <c r="F202" s="59"/>
      <c r="G202" s="14"/>
      <c r="H202" s="76"/>
      <c r="I202" s="14"/>
      <c r="J202" s="14"/>
      <c r="K202" s="14"/>
      <c r="L202" s="14"/>
      <c r="M202" s="14"/>
      <c r="N202" s="14"/>
      <c r="O202" s="14"/>
      <c r="P202" s="14"/>
      <c r="Q202" s="14"/>
      <c r="R202" s="14"/>
      <c r="S202" s="14"/>
      <c r="T202" s="14"/>
      <c r="U202" s="14"/>
      <c r="V202" s="14"/>
      <c r="W202" s="14"/>
      <c r="X202" s="14"/>
      <c r="Y202" s="14"/>
      <c r="Z202" s="13"/>
      <c r="AA202" s="13"/>
      <c r="AB202" s="13"/>
      <c r="AC202" s="13"/>
      <c r="AD202" s="13"/>
      <c r="AE202" s="13"/>
      <c r="AF202" s="13"/>
      <c r="AG202" s="13"/>
      <c r="AH202" s="13"/>
      <c r="AI202" s="13"/>
      <c r="AJ202" s="13"/>
      <c r="AK202" s="13"/>
    </row>
    <row r="203" spans="1:37" s="5" customFormat="1" ht="14" customHeight="1">
      <c r="A203" s="58"/>
      <c r="B203" s="58"/>
      <c r="C203" s="58"/>
      <c r="D203" s="58"/>
      <c r="E203" s="58"/>
      <c r="F203" s="58"/>
      <c r="G203" s="58"/>
      <c r="H203" s="58"/>
      <c r="I203" s="14"/>
      <c r="J203" s="14"/>
      <c r="K203" s="14"/>
      <c r="L203" s="14"/>
      <c r="M203" s="14"/>
      <c r="N203" s="14"/>
      <c r="O203" s="14"/>
      <c r="P203" s="14"/>
      <c r="Q203" s="14"/>
      <c r="R203" s="14"/>
      <c r="S203" s="14"/>
      <c r="T203" s="14"/>
      <c r="U203" s="14"/>
      <c r="V203" s="14"/>
      <c r="W203" s="14"/>
      <c r="X203" s="14"/>
      <c r="Y203" s="14"/>
      <c r="Z203" s="13"/>
      <c r="AA203" s="13"/>
      <c r="AB203" s="13"/>
      <c r="AC203" s="13"/>
      <c r="AD203" s="13"/>
      <c r="AE203" s="13"/>
      <c r="AF203" s="13"/>
      <c r="AG203" s="13"/>
      <c r="AH203" s="13"/>
      <c r="AI203" s="13"/>
      <c r="AJ203" s="13"/>
      <c r="AK203" s="13"/>
    </row>
    <row r="204" spans="1:37" s="5" customFormat="1" ht="14" customHeight="1">
      <c r="A204" s="14"/>
      <c r="B204" s="60"/>
      <c r="C204" s="69"/>
      <c r="D204" s="62"/>
      <c r="E204" s="61"/>
      <c r="F204" s="61"/>
      <c r="G204" s="14"/>
      <c r="H204" s="14"/>
      <c r="I204" s="14"/>
      <c r="J204" s="14"/>
      <c r="K204" s="14"/>
      <c r="L204" s="14"/>
      <c r="M204" s="14"/>
      <c r="N204" s="14"/>
      <c r="O204" s="14"/>
      <c r="P204" s="14"/>
      <c r="Q204" s="14"/>
      <c r="R204" s="14"/>
      <c r="S204" s="14"/>
      <c r="T204" s="14"/>
      <c r="U204" s="14"/>
      <c r="V204" s="14"/>
      <c r="W204" s="14"/>
      <c r="X204" s="14"/>
      <c r="Y204" s="14"/>
      <c r="Z204" s="13"/>
      <c r="AA204" s="13"/>
      <c r="AB204" s="13"/>
      <c r="AC204" s="13"/>
      <c r="AD204" s="13"/>
      <c r="AE204" s="13"/>
      <c r="AF204" s="13"/>
      <c r="AG204" s="13"/>
      <c r="AH204" s="13"/>
      <c r="AI204" s="13"/>
      <c r="AJ204" s="13"/>
      <c r="AK204" s="13"/>
    </row>
    <row r="205" spans="1:37" s="5" customFormat="1" ht="14" customHeight="1">
      <c r="A205" s="63"/>
      <c r="B205" s="60"/>
      <c r="C205" s="64"/>
      <c r="D205" s="65"/>
      <c r="E205" s="66"/>
      <c r="F205" s="64"/>
      <c r="G205" s="14"/>
      <c r="H205" s="14"/>
      <c r="I205" s="14"/>
      <c r="J205" s="14"/>
      <c r="K205" s="14"/>
      <c r="L205" s="14"/>
      <c r="M205" s="14"/>
      <c r="N205" s="14"/>
      <c r="O205" s="14"/>
      <c r="P205" s="14"/>
      <c r="Q205" s="14"/>
      <c r="R205" s="14"/>
      <c r="S205" s="14"/>
      <c r="T205" s="14"/>
      <c r="U205" s="14"/>
      <c r="V205" s="14"/>
      <c r="W205" s="14"/>
      <c r="X205" s="14"/>
      <c r="Y205" s="14"/>
      <c r="Z205" s="13"/>
      <c r="AA205" s="13"/>
      <c r="AB205" s="13"/>
      <c r="AC205" s="13"/>
      <c r="AD205" s="13"/>
      <c r="AE205" s="13"/>
      <c r="AF205" s="13"/>
      <c r="AG205" s="13"/>
      <c r="AH205" s="13"/>
      <c r="AI205" s="13"/>
      <c r="AJ205" s="13"/>
      <c r="AK205" s="13"/>
    </row>
    <row r="206" spans="1:37" s="5" customFormat="1" ht="14" customHeight="1">
      <c r="A206" s="63"/>
      <c r="B206" s="60"/>
      <c r="C206" s="64"/>
      <c r="D206" s="65"/>
      <c r="E206" s="66"/>
      <c r="F206" s="64"/>
      <c r="G206" s="14"/>
      <c r="H206" s="14"/>
      <c r="I206" s="14"/>
      <c r="J206" s="14"/>
      <c r="K206" s="14"/>
      <c r="L206" s="14"/>
      <c r="M206" s="14"/>
      <c r="N206" s="14"/>
      <c r="O206" s="14"/>
      <c r="P206" s="14"/>
      <c r="Q206" s="14"/>
      <c r="R206" s="14"/>
      <c r="S206" s="14"/>
      <c r="T206" s="14"/>
      <c r="U206" s="14"/>
      <c r="V206" s="14"/>
      <c r="W206" s="14"/>
      <c r="X206" s="14"/>
      <c r="Y206" s="14"/>
      <c r="Z206" s="13"/>
      <c r="AA206" s="13"/>
      <c r="AB206" s="13"/>
      <c r="AC206" s="13"/>
      <c r="AD206" s="13"/>
      <c r="AE206" s="13"/>
      <c r="AF206" s="13"/>
      <c r="AG206" s="13"/>
      <c r="AH206" s="13"/>
      <c r="AI206" s="13"/>
      <c r="AJ206" s="13"/>
      <c r="AK206" s="13"/>
    </row>
    <row r="207" spans="1:37" s="5" customFormat="1" ht="14" customHeight="1">
      <c r="A207" s="63"/>
      <c r="B207" s="60"/>
      <c r="C207" s="79"/>
      <c r="D207" s="68"/>
      <c r="E207" s="66"/>
      <c r="F207" s="64"/>
      <c r="G207" s="14"/>
      <c r="H207" s="14"/>
      <c r="I207" s="14"/>
      <c r="J207" s="14"/>
      <c r="K207" s="14"/>
      <c r="L207" s="14"/>
      <c r="M207" s="14"/>
      <c r="N207" s="14"/>
      <c r="O207" s="14"/>
      <c r="P207" s="14"/>
      <c r="Q207" s="14"/>
      <c r="R207" s="14"/>
      <c r="S207" s="14"/>
      <c r="T207" s="14"/>
      <c r="U207" s="14"/>
      <c r="V207" s="14"/>
      <c r="W207" s="14"/>
      <c r="X207" s="14"/>
      <c r="Y207" s="14"/>
      <c r="Z207" s="13"/>
      <c r="AA207" s="13"/>
      <c r="AB207" s="13"/>
      <c r="AC207" s="13"/>
      <c r="AD207" s="13"/>
      <c r="AE207" s="13"/>
      <c r="AF207" s="13"/>
      <c r="AG207" s="13"/>
      <c r="AH207" s="13"/>
      <c r="AI207" s="13"/>
      <c r="AJ207" s="13"/>
      <c r="AK207" s="13"/>
    </row>
    <row r="208" spans="1:37" s="5" customFormat="1" ht="14" customHeight="1">
      <c r="A208" s="14"/>
      <c r="B208" s="60"/>
      <c r="C208" s="69"/>
      <c r="D208" s="62"/>
      <c r="E208" s="61"/>
      <c r="F208" s="61"/>
      <c r="G208" s="14"/>
      <c r="H208" s="14"/>
      <c r="I208" s="14"/>
      <c r="J208" s="14"/>
      <c r="K208" s="14"/>
      <c r="L208" s="14"/>
      <c r="M208" s="14"/>
      <c r="N208" s="14"/>
      <c r="O208" s="14"/>
      <c r="P208" s="14"/>
      <c r="Q208" s="14"/>
      <c r="R208" s="14"/>
      <c r="S208" s="14"/>
      <c r="T208" s="14"/>
      <c r="U208" s="14"/>
      <c r="V208" s="14"/>
      <c r="W208" s="14"/>
      <c r="X208" s="14"/>
      <c r="Y208" s="14"/>
      <c r="Z208" s="13"/>
      <c r="AA208" s="13"/>
      <c r="AB208" s="13"/>
      <c r="AC208" s="13"/>
      <c r="AD208" s="13"/>
      <c r="AE208" s="13"/>
      <c r="AF208" s="13"/>
      <c r="AG208" s="13"/>
      <c r="AH208" s="13"/>
      <c r="AI208" s="13"/>
      <c r="AJ208" s="13"/>
      <c r="AK208" s="13"/>
    </row>
    <row r="209" spans="1:37" s="5" customFormat="1" ht="14" customHeight="1">
      <c r="A209" s="70"/>
      <c r="B209" s="60"/>
      <c r="C209" s="71"/>
      <c r="D209" s="72"/>
      <c r="E209" s="73"/>
      <c r="F209" s="73"/>
      <c r="G209" s="14"/>
      <c r="H209" s="14"/>
      <c r="I209" s="14"/>
      <c r="J209" s="14"/>
      <c r="K209" s="14"/>
      <c r="L209" s="14"/>
      <c r="M209" s="14"/>
      <c r="N209" s="14"/>
      <c r="O209" s="14"/>
      <c r="P209" s="14"/>
      <c r="Q209" s="14"/>
      <c r="R209" s="14"/>
      <c r="S209" s="14"/>
      <c r="T209" s="14"/>
      <c r="U209" s="14"/>
      <c r="V209" s="14"/>
      <c r="W209" s="14"/>
      <c r="X209" s="14"/>
      <c r="Y209" s="14"/>
      <c r="Z209" s="13"/>
      <c r="AA209" s="13"/>
      <c r="AB209" s="13"/>
      <c r="AC209" s="13"/>
      <c r="AD209" s="13"/>
      <c r="AE209" s="13"/>
      <c r="AF209" s="13"/>
      <c r="AG209" s="13"/>
      <c r="AH209" s="13"/>
      <c r="AI209" s="13"/>
      <c r="AJ209" s="13"/>
      <c r="AK209" s="13"/>
    </row>
    <row r="210" spans="1:37" s="5" customFormat="1" ht="14" customHeight="1">
      <c r="A210" s="74"/>
      <c r="B210" s="75"/>
      <c r="C210" s="71"/>
      <c r="D210" s="72"/>
      <c r="E210" s="71"/>
      <c r="F210" s="71"/>
      <c r="G210" s="14"/>
      <c r="H210" s="14"/>
      <c r="I210" s="14"/>
      <c r="J210" s="14"/>
      <c r="K210" s="14"/>
      <c r="L210" s="14"/>
      <c r="M210" s="14"/>
      <c r="N210" s="14"/>
      <c r="O210" s="14"/>
      <c r="P210" s="14"/>
      <c r="Q210" s="14"/>
      <c r="R210" s="14"/>
      <c r="S210" s="14"/>
      <c r="T210" s="14"/>
      <c r="U210" s="14"/>
      <c r="V210" s="14"/>
      <c r="W210" s="14"/>
      <c r="X210" s="14"/>
      <c r="Y210" s="14"/>
      <c r="Z210" s="13"/>
      <c r="AA210" s="13"/>
      <c r="AB210" s="13"/>
      <c r="AC210" s="13"/>
      <c r="AD210" s="13"/>
      <c r="AE210" s="13"/>
      <c r="AF210" s="13"/>
      <c r="AG210" s="13"/>
      <c r="AH210" s="13"/>
      <c r="AI210" s="13"/>
      <c r="AJ210" s="13"/>
      <c r="AK210" s="13"/>
    </row>
    <row r="211" spans="1:37" s="5" customFormat="1" ht="14" customHeight="1">
      <c r="A211" s="74"/>
      <c r="B211" s="75"/>
      <c r="C211" s="59"/>
      <c r="D211" s="72"/>
      <c r="E211" s="59"/>
      <c r="F211" s="71"/>
      <c r="G211" s="14"/>
      <c r="H211" s="14"/>
      <c r="I211" s="14"/>
      <c r="J211" s="14"/>
      <c r="K211" s="14"/>
      <c r="L211" s="14"/>
      <c r="M211" s="14"/>
      <c r="N211" s="14"/>
      <c r="O211" s="14"/>
      <c r="P211" s="14"/>
      <c r="Q211" s="14"/>
      <c r="R211" s="14"/>
      <c r="S211" s="14"/>
      <c r="T211" s="14"/>
      <c r="U211" s="14"/>
      <c r="V211" s="14"/>
      <c r="W211" s="14"/>
      <c r="X211" s="14"/>
      <c r="Y211" s="14"/>
      <c r="Z211" s="13"/>
      <c r="AA211" s="13"/>
      <c r="AB211" s="13"/>
      <c r="AC211" s="13"/>
      <c r="AD211" s="13"/>
      <c r="AE211" s="13"/>
      <c r="AF211" s="13"/>
      <c r="AG211" s="13"/>
      <c r="AH211" s="13"/>
      <c r="AI211" s="13"/>
      <c r="AJ211" s="13"/>
      <c r="AK211" s="13"/>
    </row>
    <row r="212" spans="1:37" s="5" customFormat="1" ht="14" customHeight="1">
      <c r="A212" s="74"/>
      <c r="B212" s="75"/>
      <c r="C212" s="59"/>
      <c r="D212" s="59"/>
      <c r="E212" s="59"/>
      <c r="F212" s="71"/>
      <c r="G212" s="14"/>
      <c r="H212" s="14"/>
      <c r="I212" s="14"/>
      <c r="J212" s="14"/>
      <c r="K212" s="14"/>
      <c r="L212" s="14"/>
      <c r="M212" s="14"/>
      <c r="N212" s="14"/>
      <c r="O212" s="14"/>
      <c r="P212" s="14"/>
      <c r="Q212" s="14"/>
      <c r="R212" s="14"/>
      <c r="S212" s="14"/>
      <c r="T212" s="14"/>
      <c r="U212" s="14"/>
      <c r="V212" s="14"/>
      <c r="W212" s="14"/>
      <c r="X212" s="14"/>
      <c r="Y212" s="14"/>
      <c r="Z212" s="13"/>
      <c r="AA212" s="13"/>
      <c r="AB212" s="13"/>
      <c r="AC212" s="13"/>
      <c r="AD212" s="13"/>
      <c r="AE212" s="13"/>
      <c r="AF212" s="13"/>
      <c r="AG212" s="13"/>
      <c r="AH212" s="13"/>
      <c r="AI212" s="13"/>
      <c r="AJ212" s="13"/>
      <c r="AK212" s="13"/>
    </row>
    <row r="213" spans="1:37" s="5" customFormat="1" ht="14" customHeight="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3"/>
      <c r="AA213" s="13"/>
      <c r="AB213" s="13"/>
      <c r="AC213" s="13"/>
      <c r="AD213" s="13"/>
      <c r="AE213" s="13"/>
      <c r="AF213" s="13"/>
      <c r="AG213" s="13"/>
      <c r="AH213" s="13"/>
      <c r="AI213" s="13"/>
      <c r="AJ213" s="13"/>
      <c r="AK213" s="13"/>
    </row>
    <row r="214" spans="1:37" s="5" customFormat="1" ht="14" customHeight="1">
      <c r="A214" s="13"/>
      <c r="B214" s="13"/>
      <c r="C214" s="13"/>
      <c r="D214" s="13"/>
      <c r="E214" s="13"/>
      <c r="F214" s="13"/>
      <c r="G214" s="13"/>
      <c r="H214" s="13"/>
      <c r="I214" s="13"/>
      <c r="J214" s="13"/>
      <c r="K214" s="14"/>
      <c r="L214" s="14"/>
      <c r="M214" s="14"/>
      <c r="N214" s="14"/>
      <c r="O214" s="14"/>
      <c r="P214" s="14"/>
      <c r="Q214" s="14"/>
      <c r="R214" s="14"/>
      <c r="S214" s="14"/>
      <c r="T214" s="14"/>
      <c r="U214" s="14"/>
      <c r="V214" s="14"/>
      <c r="W214" s="14"/>
      <c r="X214" s="14"/>
      <c r="Y214" s="14"/>
      <c r="Z214" s="13"/>
      <c r="AA214" s="13"/>
      <c r="AB214" s="13"/>
      <c r="AC214" s="13"/>
      <c r="AD214" s="13"/>
      <c r="AE214" s="13"/>
      <c r="AF214" s="13"/>
      <c r="AG214" s="13"/>
      <c r="AH214" s="13"/>
      <c r="AI214" s="13"/>
      <c r="AJ214" s="13"/>
      <c r="AK214" s="13"/>
    </row>
    <row r="215" spans="1:37" s="5" customFormat="1" ht="14"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row>
    <row r="216" spans="1:37" s="5" customFormat="1" ht="14"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row>
    <row r="217" spans="1:37" s="5" customFormat="1" ht="14"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row>
    <row r="218" spans="1:37" s="5" customFormat="1" ht="14"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row>
  </sheetData>
  <mergeCells count="2">
    <mergeCell ref="B3:E3"/>
    <mergeCell ref="I3:L3"/>
  </mergeCells>
  <hyperlinks>
    <hyperlink ref="A1" location="HOME!A1" display="Back to Home"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showGridLines="0" workbookViewId="0"/>
  </sheetViews>
  <sheetFormatPr baseColWidth="10" defaultColWidth="8.83203125" defaultRowHeight="16"/>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94"/>
  <sheetViews>
    <sheetView showGridLines="0" zoomScaleNormal="100" zoomScalePageLayoutView="125" workbookViewId="0"/>
  </sheetViews>
  <sheetFormatPr baseColWidth="10" defaultColWidth="9.1640625" defaultRowHeight="14" customHeight="1"/>
  <cols>
    <col min="1" max="1" width="9.6640625" style="253" customWidth="1"/>
    <col min="2" max="2" width="9" style="2" customWidth="1"/>
    <col min="3" max="3" width="57.83203125" style="168" customWidth="1"/>
    <col min="4" max="4" width="5.1640625" style="168" customWidth="1"/>
    <col min="5" max="5" width="9.1640625" style="168" customWidth="1"/>
    <col min="6" max="6" width="63.5" style="168" customWidth="1"/>
    <col min="7" max="7" width="12.83203125" style="97" customWidth="1"/>
    <col min="8" max="22" width="12.83203125" style="2" customWidth="1"/>
    <col min="23" max="16384" width="9.1640625" style="2"/>
  </cols>
  <sheetData>
    <row r="1" spans="1:7" ht="14" customHeight="1" thickBot="1">
      <c r="A1" s="563" t="s">
        <v>107</v>
      </c>
      <c r="B1" s="188"/>
      <c r="F1" s="169"/>
    </row>
    <row r="2" spans="1:7" ht="14" customHeight="1" thickBot="1">
      <c r="A2" s="584" t="s">
        <v>350</v>
      </c>
      <c r="C2" s="221" t="s">
        <v>135</v>
      </c>
      <c r="D2" s="221"/>
      <c r="E2" s="335"/>
    </row>
    <row r="3" spans="1:7" ht="14" customHeight="1" thickBot="1">
      <c r="A3" s="3"/>
      <c r="B3" s="244" t="s">
        <v>87</v>
      </c>
      <c r="C3" s="245"/>
      <c r="D3" s="245"/>
      <c r="E3" s="245"/>
      <c r="F3" s="245"/>
    </row>
    <row r="4" spans="1:7" ht="14" customHeight="1" thickTop="1" thickBot="1">
      <c r="A4" s="3"/>
      <c r="B4" s="189"/>
      <c r="C4" s="186"/>
      <c r="D4" s="186"/>
      <c r="E4" s="185"/>
      <c r="F4" s="187"/>
    </row>
    <row r="5" spans="1:7" ht="14" customHeight="1">
      <c r="A5" s="3"/>
      <c r="B5" s="338">
        <v>5000</v>
      </c>
      <c r="C5" s="259" t="s">
        <v>232</v>
      </c>
      <c r="D5" s="410"/>
      <c r="E5" s="338">
        <v>300</v>
      </c>
      <c r="F5" s="259" t="s">
        <v>65</v>
      </c>
    </row>
    <row r="6" spans="1:7" ht="14" customHeight="1">
      <c r="A6" s="3"/>
      <c r="B6" s="339">
        <v>1</v>
      </c>
      <c r="C6" s="259" t="s">
        <v>233</v>
      </c>
      <c r="D6" s="367">
        <v>2</v>
      </c>
      <c r="E6" s="340">
        <v>0.5</v>
      </c>
      <c r="F6" s="259" t="s">
        <v>261</v>
      </c>
    </row>
    <row r="7" spans="1:7" ht="14" customHeight="1">
      <c r="A7" s="3"/>
      <c r="B7" s="342">
        <v>10000</v>
      </c>
      <c r="C7" s="259" t="s">
        <v>234</v>
      </c>
      <c r="D7" s="410"/>
      <c r="E7" s="343">
        <v>0.2</v>
      </c>
      <c r="F7" s="341" t="s">
        <v>250</v>
      </c>
    </row>
    <row r="8" spans="1:7" s="98" customFormat="1" ht="14" customHeight="1">
      <c r="A8" s="106"/>
      <c r="B8" s="342">
        <v>20</v>
      </c>
      <c r="C8" s="259" t="s">
        <v>89</v>
      </c>
      <c r="D8" s="410"/>
      <c r="E8" s="344">
        <v>1</v>
      </c>
      <c r="F8" s="259" t="s">
        <v>251</v>
      </c>
      <c r="G8" s="107"/>
    </row>
    <row r="9" spans="1:7" s="98" customFormat="1" ht="14" customHeight="1">
      <c r="A9" s="408"/>
      <c r="B9" s="345">
        <v>0</v>
      </c>
      <c r="C9" s="259" t="s">
        <v>243</v>
      </c>
      <c r="D9" s="367">
        <v>3</v>
      </c>
      <c r="E9" s="344">
        <v>10</v>
      </c>
      <c r="F9" s="341" t="s">
        <v>252</v>
      </c>
      <c r="G9" s="107"/>
    </row>
    <row r="10" spans="1:7" s="98" customFormat="1" ht="14" customHeight="1" thickBot="1">
      <c r="A10" s="366">
        <v>1</v>
      </c>
      <c r="B10" s="346">
        <v>75</v>
      </c>
      <c r="C10" s="394" t="s">
        <v>88</v>
      </c>
      <c r="D10" s="411"/>
      <c r="E10" s="347">
        <v>0.01</v>
      </c>
      <c r="F10" s="395" t="s">
        <v>237</v>
      </c>
      <c r="G10" s="107"/>
    </row>
    <row r="11" spans="1:7" s="98" customFormat="1" ht="14" customHeight="1">
      <c r="A11" s="595">
        <v>4</v>
      </c>
      <c r="B11" s="593">
        <f>B58</f>
        <v>3.6999999999999998E-2</v>
      </c>
      <c r="C11" s="171" t="s">
        <v>344</v>
      </c>
      <c r="D11" s="412"/>
      <c r="E11" s="347">
        <v>0.02</v>
      </c>
      <c r="F11" s="259" t="s">
        <v>238</v>
      </c>
      <c r="G11" s="97"/>
    </row>
    <row r="12" spans="1:7" s="98" customFormat="1" ht="14" customHeight="1">
      <c r="A12" s="408"/>
      <c r="B12" s="170"/>
      <c r="C12" s="171"/>
      <c r="D12" s="412"/>
      <c r="E12" s="358">
        <v>0.3</v>
      </c>
      <c r="F12" s="259" t="s">
        <v>247</v>
      </c>
      <c r="G12" s="97"/>
    </row>
    <row r="13" spans="1:7" s="98" customFormat="1" ht="14" customHeight="1">
      <c r="A13" s="408"/>
      <c r="B13" s="170"/>
      <c r="C13" s="171"/>
      <c r="D13" s="412"/>
      <c r="E13" s="358">
        <v>0.3</v>
      </c>
      <c r="F13" s="259" t="s">
        <v>228</v>
      </c>
      <c r="G13" s="97"/>
    </row>
    <row r="14" spans="1:7" s="98" customFormat="1" ht="14" customHeight="1" thickBot="1">
      <c r="A14" s="408"/>
      <c r="B14" s="170"/>
      <c r="C14" s="171"/>
      <c r="D14" s="412"/>
      <c r="E14" s="357">
        <v>0.05</v>
      </c>
      <c r="F14" s="395" t="s">
        <v>253</v>
      </c>
      <c r="G14" s="97"/>
    </row>
    <row r="15" spans="1:7" ht="14" customHeight="1" thickBot="1">
      <c r="A15" s="409"/>
      <c r="B15" s="244" t="s">
        <v>66</v>
      </c>
      <c r="C15" s="336"/>
      <c r="D15" s="413"/>
      <c r="E15" s="337"/>
      <c r="F15" s="245"/>
    </row>
    <row r="16" spans="1:7" ht="14" customHeight="1" thickTop="1" thickBot="1">
      <c r="A16" s="409"/>
      <c r="B16" s="190"/>
      <c r="C16" s="172"/>
      <c r="D16" s="414"/>
      <c r="E16" s="181"/>
      <c r="F16" s="181"/>
    </row>
    <row r="17" spans="1:6" s="97" customFormat="1" ht="14" customHeight="1">
      <c r="A17" s="596" t="s">
        <v>361</v>
      </c>
      <c r="B17" s="348">
        <v>0</v>
      </c>
      <c r="C17" s="259" t="s">
        <v>362</v>
      </c>
      <c r="D17" s="596">
        <v>5</v>
      </c>
      <c r="E17" s="349">
        <f>B82*$B$20</f>
        <v>60</v>
      </c>
      <c r="F17" s="259" t="s">
        <v>245</v>
      </c>
    </row>
    <row r="18" spans="1:6" s="97" customFormat="1" ht="14" customHeight="1">
      <c r="A18" s="539"/>
      <c r="B18" s="226">
        <v>10</v>
      </c>
      <c r="C18" s="341" t="s">
        <v>73</v>
      </c>
      <c r="D18" s="415"/>
      <c r="E18" s="226">
        <v>25</v>
      </c>
      <c r="F18" s="259" t="s">
        <v>74</v>
      </c>
    </row>
    <row r="19" spans="1:6" s="97" customFormat="1" ht="14" customHeight="1" thickBot="1">
      <c r="A19" s="409"/>
      <c r="B19" s="370">
        <v>10</v>
      </c>
      <c r="C19" s="396" t="s">
        <v>239</v>
      </c>
      <c r="D19" s="416"/>
      <c r="E19" s="350">
        <f>B83*$B$20</f>
        <v>45</v>
      </c>
      <c r="F19" s="395" t="s">
        <v>254</v>
      </c>
    </row>
    <row r="20" spans="1:6" s="97" customFormat="1" ht="14" customHeight="1">
      <c r="A20" s="409"/>
      <c r="B20" s="368">
        <f>B19*30</f>
        <v>300</v>
      </c>
      <c r="C20" s="341" t="s">
        <v>240</v>
      </c>
      <c r="D20" s="411"/>
      <c r="E20" s="226">
        <v>20</v>
      </c>
      <c r="F20" s="259" t="s">
        <v>67</v>
      </c>
    </row>
    <row r="21" spans="1:6" ht="14" customHeight="1">
      <c r="A21" s="409"/>
      <c r="B21" s="182">
        <f>1-E7</f>
        <v>0.8</v>
      </c>
      <c r="C21" s="170" t="s">
        <v>280</v>
      </c>
      <c r="D21" s="412"/>
      <c r="E21" s="351">
        <v>5</v>
      </c>
      <c r="F21" s="259" t="s">
        <v>98</v>
      </c>
    </row>
    <row r="22" spans="1:6" ht="14" customHeight="1">
      <c r="A22" s="409"/>
      <c r="B22" s="183">
        <f>1-E6</f>
        <v>0.5</v>
      </c>
      <c r="C22" s="171" t="s">
        <v>255</v>
      </c>
      <c r="D22" s="416"/>
      <c r="E22" s="350">
        <f>$B$20*B85</f>
        <v>75</v>
      </c>
      <c r="F22" s="259" t="s">
        <v>275</v>
      </c>
    </row>
    <row r="23" spans="1:6" ht="14" customHeight="1" thickBot="1">
      <c r="A23" s="588"/>
      <c r="B23" s="585">
        <f>(1-E6)*E5</f>
        <v>150</v>
      </c>
      <c r="C23" s="171" t="s">
        <v>352</v>
      </c>
      <c r="D23" s="416"/>
      <c r="E23" s="226">
        <f>'A1. BASE MODEL INPUTS'!E9</f>
        <v>7.5</v>
      </c>
      <c r="F23" s="259" t="s">
        <v>276</v>
      </c>
    </row>
    <row r="24" spans="1:6" ht="14" customHeight="1" thickBot="1">
      <c r="A24" s="3"/>
      <c r="B24" s="587">
        <v>0</v>
      </c>
      <c r="C24" s="173" t="s">
        <v>375</v>
      </c>
      <c r="D24" s="417"/>
      <c r="E24" s="350">
        <f>$B$20*B84</f>
        <v>120</v>
      </c>
      <c r="F24" s="259" t="s">
        <v>241</v>
      </c>
    </row>
    <row r="25" spans="1:6" ht="14" customHeight="1" thickBot="1">
      <c r="A25" s="3"/>
      <c r="B25" s="222">
        <f>B24*B23</f>
        <v>0</v>
      </c>
      <c r="C25" s="173" t="s">
        <v>356</v>
      </c>
      <c r="D25" s="417"/>
      <c r="E25" s="369">
        <v>5</v>
      </c>
      <c r="F25" s="172" t="s">
        <v>242</v>
      </c>
    </row>
    <row r="26" spans="1:6" s="97" customFormat="1" ht="14" customHeight="1">
      <c r="A26" s="3"/>
      <c r="B26" s="205"/>
      <c r="C26" s="173"/>
      <c r="D26" s="417"/>
      <c r="E26" s="586"/>
      <c r="F26" s="172"/>
    </row>
    <row r="27" spans="1:6" s="97" customFormat="1" ht="14" customHeight="1" thickBot="1">
      <c r="A27" s="3"/>
      <c r="B27" s="244" t="s">
        <v>72</v>
      </c>
      <c r="C27" s="336"/>
      <c r="D27" s="413"/>
      <c r="E27" s="337"/>
      <c r="F27" s="245"/>
    </row>
    <row r="28" spans="1:6" s="5" customFormat="1" ht="14" customHeight="1" thickTop="1" thickBot="1">
      <c r="A28" s="11"/>
      <c r="B28" s="632"/>
      <c r="C28" s="632"/>
      <c r="D28" s="409"/>
      <c r="E28" s="633"/>
      <c r="F28" s="633"/>
    </row>
    <row r="29" spans="1:6" ht="14" customHeight="1">
      <c r="A29" s="597">
        <v>6</v>
      </c>
      <c r="B29" s="233">
        <v>0.2</v>
      </c>
      <c r="C29" s="525" t="s">
        <v>208</v>
      </c>
      <c r="D29" s="596">
        <v>7</v>
      </c>
      <c r="E29" s="184">
        <f>(1-B29)*'A1. BASE MODEL INPUTS'!B13</f>
        <v>6.4</v>
      </c>
      <c r="F29" s="176" t="s">
        <v>262</v>
      </c>
    </row>
    <row r="30" spans="1:6" ht="14" customHeight="1">
      <c r="A30" s="564"/>
      <c r="B30" s="343">
        <v>0.5</v>
      </c>
      <c r="C30" s="173" t="s">
        <v>209</v>
      </c>
      <c r="D30" s="417"/>
      <c r="E30" s="533">
        <f>(30-E29)*('A1. BASE MODEL INPUTS'!E7/30)</f>
        <v>11.8</v>
      </c>
      <c r="F30" s="177" t="s">
        <v>31</v>
      </c>
    </row>
    <row r="31" spans="1:6" ht="14" customHeight="1">
      <c r="B31" s="343">
        <v>0.15</v>
      </c>
      <c r="C31" s="403" t="s">
        <v>210</v>
      </c>
      <c r="D31" s="173"/>
      <c r="E31" s="533">
        <f>'A1. BASE MODEL INPUTS'!E7-'B1. MASTER AGENT INPUTS'!E30</f>
        <v>3.1999999999999993</v>
      </c>
      <c r="F31" s="177" t="s">
        <v>32</v>
      </c>
    </row>
    <row r="32" spans="1:6" ht="14" customHeight="1" thickBot="1">
      <c r="B32" s="404">
        <v>0.25</v>
      </c>
      <c r="C32" s="403" t="s">
        <v>211</v>
      </c>
      <c r="D32" s="173"/>
      <c r="E32" s="534">
        <f>('A1. BASE MODEL INPUTS'!E13)*(1-'B1. MASTER AGENT INPUTS'!B30)+'A1. BASE MODEL INPUTS'!E12</f>
        <v>1.4999999999999999E-2</v>
      </c>
      <c r="F32" s="178" t="s">
        <v>246</v>
      </c>
    </row>
    <row r="33" spans="1:7" ht="14" customHeight="1">
      <c r="D33" s="172"/>
      <c r="E33" s="172"/>
      <c r="F33" s="172"/>
    </row>
    <row r="34" spans="1:7" ht="14" customHeight="1" thickBot="1">
      <c r="B34" s="244" t="s">
        <v>226</v>
      </c>
      <c r="C34" s="336"/>
      <c r="D34" s="336"/>
      <c r="E34" s="337"/>
      <c r="F34" s="245"/>
    </row>
    <row r="35" spans="1:7" ht="14" customHeight="1" thickTop="1" thickBot="1">
      <c r="B35" s="634" t="s">
        <v>136</v>
      </c>
      <c r="C35" s="634"/>
      <c r="D35" s="361"/>
      <c r="E35" s="635" t="s">
        <v>119</v>
      </c>
      <c r="F35" s="635"/>
    </row>
    <row r="36" spans="1:7" ht="16.5" customHeight="1" thickBot="1">
      <c r="B36" s="576">
        <v>0.01</v>
      </c>
      <c r="C36" s="175" t="s">
        <v>376</v>
      </c>
      <c r="D36" s="175"/>
      <c r="E36" s="574">
        <f>(1-E12)*E11</f>
        <v>1.3999999999999999E-2</v>
      </c>
      <c r="F36" s="175" t="s">
        <v>256</v>
      </c>
    </row>
    <row r="37" spans="1:7" ht="14" customHeight="1">
      <c r="B37" s="574">
        <f>E7*B36</f>
        <v>2E-3</v>
      </c>
      <c r="C37" s="169" t="s">
        <v>137</v>
      </c>
      <c r="D37" s="169"/>
      <c r="E37" s="431">
        <f>E36*E7</f>
        <v>2.8E-3</v>
      </c>
      <c r="F37" s="169" t="s">
        <v>248</v>
      </c>
    </row>
    <row r="38" spans="1:7" ht="14" customHeight="1">
      <c r="B38" s="574">
        <f>B36-B37</f>
        <v>8.0000000000000002E-3</v>
      </c>
      <c r="C38" s="180" t="s">
        <v>138</v>
      </c>
      <c r="D38" s="180"/>
      <c r="E38" s="574">
        <f>E36-E37</f>
        <v>1.1199999999999998E-2</v>
      </c>
      <c r="F38" s="168" t="s">
        <v>120</v>
      </c>
    </row>
    <row r="39" spans="1:7" ht="14" customHeight="1" thickBot="1">
      <c r="B39" s="634" t="s">
        <v>121</v>
      </c>
      <c r="C39" s="634"/>
      <c r="D39" s="361"/>
      <c r="F39" s="256" t="s">
        <v>227</v>
      </c>
    </row>
    <row r="40" spans="1:7" ht="14" customHeight="1" thickBot="1">
      <c r="B40" s="576">
        <v>0.02</v>
      </c>
      <c r="C40" s="175" t="s">
        <v>122</v>
      </c>
      <c r="D40" s="175"/>
      <c r="E40" s="575">
        <f>E7*E14</f>
        <v>1.0000000000000002E-2</v>
      </c>
      <c r="F40" s="175" t="s">
        <v>257</v>
      </c>
    </row>
    <row r="41" spans="1:7" ht="14" customHeight="1" thickBot="1">
      <c r="B41" s="577">
        <f>$E$13*B40</f>
        <v>6.0000000000000001E-3</v>
      </c>
      <c r="C41" s="173" t="s">
        <v>249</v>
      </c>
      <c r="D41" s="173"/>
      <c r="E41" s="357">
        <f>E14-E40</f>
        <v>0.04</v>
      </c>
      <c r="F41" s="175" t="s">
        <v>231</v>
      </c>
    </row>
    <row r="42" spans="1:7" ht="14" customHeight="1">
      <c r="B42" s="574">
        <f>B40-B41</f>
        <v>1.4E-2</v>
      </c>
      <c r="C42" s="169" t="s">
        <v>258</v>
      </c>
      <c r="D42" s="169"/>
    </row>
    <row r="43" spans="1:7" ht="14" customHeight="1">
      <c r="B43" s="574">
        <f>B42*E7</f>
        <v>2.8000000000000004E-3</v>
      </c>
      <c r="C43" s="180" t="s">
        <v>259</v>
      </c>
      <c r="D43" s="180"/>
    </row>
    <row r="44" spans="1:7" ht="14" customHeight="1">
      <c r="B44" s="574">
        <f>B42-B43</f>
        <v>1.12E-2</v>
      </c>
      <c r="C44" s="180" t="s">
        <v>123</v>
      </c>
      <c r="D44" s="180"/>
    </row>
    <row r="46" spans="1:7" ht="14" customHeight="1" thickBot="1">
      <c r="B46" s="581" t="s">
        <v>171</v>
      </c>
      <c r="C46" s="582"/>
      <c r="D46" s="582"/>
      <c r="E46" s="582"/>
      <c r="F46" s="582"/>
      <c r="G46" s="583"/>
    </row>
    <row r="47" spans="1:7" ht="29" customHeight="1" thickTop="1">
      <c r="A47" s="104" t="s">
        <v>351</v>
      </c>
      <c r="B47" s="630" t="s">
        <v>377</v>
      </c>
      <c r="C47" s="630"/>
      <c r="D47" s="630"/>
      <c r="E47" s="630"/>
      <c r="F47" s="630"/>
      <c r="G47" s="630"/>
    </row>
    <row r="48" spans="1:7" s="364" customFormat="1" ht="56" customHeight="1">
      <c r="A48" s="565"/>
      <c r="B48" s="631"/>
      <c r="C48" s="631"/>
      <c r="D48" s="631"/>
      <c r="E48" s="631"/>
      <c r="F48" s="631"/>
      <c r="G48" s="631"/>
    </row>
    <row r="49" spans="1:7" ht="19" customHeight="1">
      <c r="A49" s="162">
        <v>1</v>
      </c>
      <c r="B49" s="621" t="s">
        <v>235</v>
      </c>
      <c r="C49" s="621"/>
      <c r="D49" s="621"/>
      <c r="E49" s="621"/>
      <c r="F49" s="621"/>
      <c r="G49" s="621"/>
    </row>
    <row r="50" spans="1:7" ht="47" customHeight="1">
      <c r="A50" s="104">
        <v>2</v>
      </c>
      <c r="B50" s="621" t="s">
        <v>378</v>
      </c>
      <c r="C50" s="621"/>
      <c r="D50" s="621"/>
      <c r="E50" s="621"/>
      <c r="F50" s="621"/>
      <c r="G50" s="621"/>
    </row>
    <row r="51" spans="1:7" ht="19" customHeight="1">
      <c r="A51" s="104">
        <v>3</v>
      </c>
      <c r="B51" s="621" t="s">
        <v>236</v>
      </c>
      <c r="C51" s="621"/>
      <c r="D51" s="621"/>
      <c r="E51" s="621"/>
      <c r="F51" s="621"/>
      <c r="G51" s="621"/>
    </row>
    <row r="52" spans="1:7" ht="11" customHeight="1">
      <c r="A52" s="104"/>
      <c r="B52" s="562"/>
      <c r="C52" s="562"/>
      <c r="D52" s="562"/>
      <c r="E52" s="562"/>
      <c r="F52" s="562"/>
      <c r="G52" s="562"/>
    </row>
    <row r="53" spans="1:7" ht="29" customHeight="1">
      <c r="A53" s="561">
        <v>4</v>
      </c>
      <c r="B53" s="629" t="s">
        <v>349</v>
      </c>
      <c r="C53" s="629"/>
      <c r="D53" s="562"/>
      <c r="E53" s="562"/>
      <c r="F53" s="562"/>
      <c r="G53" s="562"/>
    </row>
    <row r="54" spans="1:7" ht="64" customHeight="1" thickBot="1">
      <c r="A54" s="2"/>
      <c r="B54" s="621" t="s">
        <v>357</v>
      </c>
      <c r="C54" s="621"/>
      <c r="D54" s="621"/>
      <c r="E54" s="621"/>
      <c r="F54" s="621"/>
      <c r="G54" s="621"/>
    </row>
    <row r="55" spans="1:7" ht="30" customHeight="1" thickBot="1">
      <c r="A55" s="162"/>
      <c r="B55" s="627" t="s">
        <v>379</v>
      </c>
      <c r="C55" s="628"/>
      <c r="D55" s="562"/>
      <c r="E55" s="562"/>
      <c r="F55" s="562"/>
      <c r="G55" s="562"/>
    </row>
    <row r="56" spans="1:7" ht="18" customHeight="1">
      <c r="A56" s="162"/>
      <c r="B56" s="579">
        <v>0.02</v>
      </c>
      <c r="C56" s="580" t="s">
        <v>345</v>
      </c>
      <c r="D56" s="562"/>
      <c r="E56" s="562"/>
      <c r="F56" s="567" t="s">
        <v>346</v>
      </c>
      <c r="G56" s="562"/>
    </row>
    <row r="57" spans="1:7" ht="18" customHeight="1">
      <c r="A57" s="162"/>
      <c r="B57" s="579">
        <v>5.3999999999999999E-2</v>
      </c>
      <c r="C57" s="580" t="s">
        <v>347</v>
      </c>
      <c r="D57" s="562"/>
      <c r="E57" s="562"/>
      <c r="F57" s="567" t="s">
        <v>360</v>
      </c>
      <c r="G57" s="562"/>
    </row>
    <row r="58" spans="1:7" ht="18" customHeight="1" thickBot="1">
      <c r="A58" s="162"/>
      <c r="B58" s="599">
        <f>AVERAGE(B56,B57)</f>
        <v>3.6999999999999998E-2</v>
      </c>
      <c r="C58" s="600" t="s">
        <v>348</v>
      </c>
      <c r="D58" s="562"/>
      <c r="E58" s="562"/>
      <c r="F58" s="562"/>
      <c r="G58" s="562"/>
    </row>
    <row r="59" spans="1:7" s="98" customFormat="1" ht="41" customHeight="1" thickBot="1">
      <c r="A59" s="594" t="s">
        <v>337</v>
      </c>
      <c r="B59" s="622" t="s">
        <v>359</v>
      </c>
      <c r="C59" s="622"/>
      <c r="D59" s="622"/>
      <c r="E59" s="622"/>
      <c r="F59" s="622"/>
      <c r="G59" s="622"/>
    </row>
    <row r="60" spans="1:7" s="107" customFormat="1" ht="21" customHeight="1" thickBot="1">
      <c r="A60" s="594"/>
      <c r="B60" s="627" t="s">
        <v>358</v>
      </c>
      <c r="C60" s="628"/>
      <c r="D60" s="567"/>
      <c r="E60" s="567"/>
      <c r="F60" s="567"/>
      <c r="G60" s="567"/>
    </row>
    <row r="61" spans="1:7" s="98" customFormat="1" ht="27" customHeight="1">
      <c r="A61" s="566"/>
      <c r="B61" s="589" t="s">
        <v>339</v>
      </c>
      <c r="C61" s="590" t="s">
        <v>338</v>
      </c>
      <c r="D61" s="567"/>
      <c r="E61" s="259"/>
      <c r="F61" s="622" t="s">
        <v>354</v>
      </c>
      <c r="G61" s="622"/>
    </row>
    <row r="62" spans="1:7" s="98" customFormat="1" ht="16" customHeight="1">
      <c r="A62" s="566"/>
      <c r="B62" s="598">
        <v>300</v>
      </c>
      <c r="C62" s="591">
        <v>10</v>
      </c>
      <c r="D62" s="567"/>
      <c r="E62" s="259"/>
      <c r="F62" s="622"/>
      <c r="G62" s="622"/>
    </row>
    <row r="63" spans="1:7" s="98" customFormat="1" ht="46" customHeight="1">
      <c r="A63" s="566"/>
      <c r="B63" s="598" t="s">
        <v>340</v>
      </c>
      <c r="C63" s="592">
        <f>C62/B62</f>
        <v>3.3333333333333333E-2</v>
      </c>
      <c r="D63" s="567"/>
      <c r="E63" s="259"/>
      <c r="F63" s="622"/>
      <c r="G63" s="622"/>
    </row>
    <row r="64" spans="1:7" s="98" customFormat="1" ht="46" customHeight="1" thickBot="1">
      <c r="A64" s="566"/>
      <c r="B64" s="604">
        <f>C63*B20</f>
        <v>10</v>
      </c>
      <c r="C64" s="601" t="s">
        <v>355</v>
      </c>
      <c r="D64" s="567"/>
      <c r="E64" s="567"/>
      <c r="F64" s="622"/>
      <c r="G64" s="622"/>
    </row>
    <row r="65" spans="1:7" ht="14" customHeight="1" thickBot="1">
      <c r="B65" s="189"/>
      <c r="C65" s="187"/>
      <c r="D65" s="187"/>
      <c r="E65" s="187"/>
      <c r="F65" s="187"/>
      <c r="G65" s="371"/>
    </row>
    <row r="66" spans="1:7" s="364" customFormat="1" ht="14" customHeight="1" thickBot="1">
      <c r="A66" s="104">
        <v>5</v>
      </c>
      <c r="B66" s="623" t="s">
        <v>212</v>
      </c>
      <c r="C66" s="624"/>
      <c r="D66" s="624"/>
      <c r="E66" s="624"/>
      <c r="F66" s="624"/>
      <c r="G66" s="625"/>
    </row>
    <row r="67" spans="1:7" ht="34" customHeight="1" thickBot="1">
      <c r="B67" s="568" t="s">
        <v>336</v>
      </c>
      <c r="C67" s="569" t="s">
        <v>213</v>
      </c>
      <c r="D67" s="569"/>
      <c r="E67" s="570" t="s">
        <v>221</v>
      </c>
    </row>
    <row r="68" spans="1:7" ht="14" customHeight="1">
      <c r="B68" s="253">
        <v>2.2000000000000002</v>
      </c>
      <c r="C68" s="168" t="s">
        <v>214</v>
      </c>
      <c r="E68" s="571">
        <f>B68/$B$74</f>
        <v>0.2</v>
      </c>
    </row>
    <row r="69" spans="1:7" ht="14" customHeight="1">
      <c r="B69" s="253">
        <v>1.7</v>
      </c>
      <c r="C69" s="168" t="s">
        <v>215</v>
      </c>
      <c r="E69" s="571">
        <f t="shared" ref="E69:E73" si="0">B69/$B$74</f>
        <v>0.15454545454545454</v>
      </c>
    </row>
    <row r="70" spans="1:7" ht="14" customHeight="1">
      <c r="B70" s="253">
        <v>1.7</v>
      </c>
      <c r="C70" s="168" t="s">
        <v>216</v>
      </c>
      <c r="E70" s="571">
        <f t="shared" si="0"/>
        <v>0.15454545454545454</v>
      </c>
    </row>
    <row r="71" spans="1:7" ht="14" customHeight="1">
      <c r="B71" s="253">
        <v>4.8</v>
      </c>
      <c r="C71" s="168" t="s">
        <v>217</v>
      </c>
      <c r="E71" s="571">
        <f t="shared" si="0"/>
        <v>0.43636363636363634</v>
      </c>
    </row>
    <row r="72" spans="1:7" ht="14" customHeight="1">
      <c r="B72" s="253">
        <v>0.5</v>
      </c>
      <c r="C72" s="168" t="s">
        <v>218</v>
      </c>
      <c r="E72" s="571">
        <f t="shared" si="0"/>
        <v>4.5454545454545456E-2</v>
      </c>
    </row>
    <row r="73" spans="1:7" ht="14" customHeight="1">
      <c r="B73" s="253">
        <v>0.1</v>
      </c>
      <c r="C73" s="168" t="s">
        <v>219</v>
      </c>
      <c r="E73" s="571">
        <f t="shared" si="0"/>
        <v>9.0909090909090922E-3</v>
      </c>
    </row>
    <row r="74" spans="1:7" ht="14" customHeight="1">
      <c r="B74" s="559">
        <f>SUM(B68:B73)</f>
        <v>11</v>
      </c>
      <c r="C74" s="560" t="s">
        <v>220</v>
      </c>
      <c r="E74" s="572"/>
    </row>
    <row r="75" spans="1:7" ht="14" customHeight="1">
      <c r="B75" s="354" t="s">
        <v>222</v>
      </c>
    </row>
    <row r="76" spans="1:7" ht="14" customHeight="1">
      <c r="B76" s="354"/>
      <c r="C76" s="626" t="s">
        <v>223</v>
      </c>
      <c r="D76" s="626"/>
      <c r="E76" s="626"/>
      <c r="F76" s="626"/>
      <c r="G76" s="626"/>
    </row>
    <row r="77" spans="1:7" ht="14" customHeight="1">
      <c r="B77" s="354"/>
      <c r="C77" s="626" t="s">
        <v>260</v>
      </c>
      <c r="D77" s="626"/>
      <c r="E77" s="626"/>
      <c r="F77" s="626"/>
      <c r="G77" s="626"/>
    </row>
    <row r="78" spans="1:7" ht="14" customHeight="1">
      <c r="B78" s="354"/>
      <c r="C78" s="626" t="s">
        <v>224</v>
      </c>
      <c r="D78" s="626"/>
      <c r="E78" s="626"/>
      <c r="F78" s="626"/>
      <c r="G78" s="626"/>
    </row>
    <row r="79" spans="1:7" ht="14" customHeight="1">
      <c r="B79" s="354" t="s">
        <v>341</v>
      </c>
      <c r="C79" s="355"/>
      <c r="D79" s="355"/>
      <c r="E79" s="355"/>
      <c r="F79" s="355"/>
      <c r="G79" s="372"/>
    </row>
    <row r="80" spans="1:7" ht="14" customHeight="1">
      <c r="B80" s="354"/>
      <c r="C80" s="356" t="s">
        <v>342</v>
      </c>
      <c r="D80" s="356"/>
      <c r="E80" s="355"/>
      <c r="F80" s="355"/>
      <c r="G80" s="372"/>
    </row>
    <row r="81" spans="1:7" ht="14" customHeight="1" thickBot="1">
      <c r="B81" s="473" t="s">
        <v>230</v>
      </c>
      <c r="C81" s="360" t="s">
        <v>229</v>
      </c>
      <c r="D81" s="362"/>
      <c r="E81" s="355"/>
      <c r="F81" s="355"/>
      <c r="G81" s="372"/>
    </row>
    <row r="82" spans="1:7" ht="14" customHeight="1">
      <c r="B82" s="475">
        <v>0.2</v>
      </c>
      <c r="C82" s="472" t="s">
        <v>214</v>
      </c>
      <c r="D82" s="363"/>
      <c r="E82" s="355"/>
      <c r="F82" s="355"/>
      <c r="G82" s="372"/>
    </row>
    <row r="83" spans="1:7" ht="14" customHeight="1">
      <c r="B83" s="476">
        <v>0.15</v>
      </c>
      <c r="C83" s="472" t="s">
        <v>215</v>
      </c>
      <c r="D83" s="363"/>
      <c r="E83" s="355"/>
      <c r="F83" s="355"/>
      <c r="G83" s="372"/>
    </row>
    <row r="84" spans="1:7" ht="14" customHeight="1">
      <c r="B84" s="476">
        <v>0.4</v>
      </c>
      <c r="C84" s="472" t="s">
        <v>217</v>
      </c>
      <c r="D84" s="363"/>
      <c r="E84" s="355"/>
      <c r="F84" s="355"/>
      <c r="G84" s="372"/>
    </row>
    <row r="85" spans="1:7" ht="14" customHeight="1" thickBot="1">
      <c r="B85" s="477">
        <v>0.25</v>
      </c>
      <c r="C85" s="472" t="s">
        <v>225</v>
      </c>
      <c r="D85" s="363"/>
    </row>
    <row r="86" spans="1:7" ht="14" customHeight="1">
      <c r="B86" s="474">
        <f>SUM(B82:B85)</f>
        <v>1</v>
      </c>
      <c r="C86" s="359"/>
      <c r="D86" s="180"/>
    </row>
    <row r="87" spans="1:7" ht="32" customHeight="1">
      <c r="A87" s="104">
        <v>6</v>
      </c>
      <c r="B87" s="621" t="s">
        <v>270</v>
      </c>
      <c r="C87" s="621"/>
      <c r="D87" s="621"/>
      <c r="E87" s="621"/>
      <c r="F87" s="621"/>
      <c r="G87" s="621"/>
    </row>
    <row r="88" spans="1:7" ht="14" customHeight="1">
      <c r="A88" s="104">
        <v>7</v>
      </c>
      <c r="B88" s="621" t="s">
        <v>271</v>
      </c>
      <c r="C88" s="621"/>
      <c r="D88" s="621"/>
      <c r="E88" s="621"/>
      <c r="F88" s="621"/>
      <c r="G88" s="621"/>
    </row>
    <row r="89" spans="1:7" ht="14" customHeight="1">
      <c r="B89" s="97"/>
      <c r="C89" s="172"/>
      <c r="D89" s="172"/>
      <c r="E89" s="172"/>
      <c r="F89" s="172"/>
    </row>
    <row r="90" spans="1:7" ht="14" customHeight="1" thickBot="1">
      <c r="B90" s="581" t="s">
        <v>363</v>
      </c>
      <c r="C90" s="582"/>
      <c r="D90" s="582"/>
      <c r="E90" s="582"/>
      <c r="F90" s="582"/>
      <c r="G90" s="583"/>
    </row>
    <row r="91" spans="1:7" ht="14" customHeight="1" thickTop="1">
      <c r="A91" s="253" t="s">
        <v>371</v>
      </c>
      <c r="B91" s="630" t="s">
        <v>368</v>
      </c>
      <c r="C91" s="630"/>
      <c r="D91" s="602"/>
      <c r="E91" s="630" t="s">
        <v>364</v>
      </c>
      <c r="F91" s="630"/>
      <c r="G91" s="630"/>
    </row>
    <row r="92" spans="1:7" ht="14" customHeight="1">
      <c r="A92" s="253" t="s">
        <v>372</v>
      </c>
      <c r="B92" s="631" t="s">
        <v>369</v>
      </c>
      <c r="C92" s="631"/>
      <c r="D92" s="395"/>
      <c r="E92" s="631" t="s">
        <v>346</v>
      </c>
      <c r="F92" s="631"/>
      <c r="G92" s="631"/>
    </row>
    <row r="93" spans="1:7" ht="14" customHeight="1">
      <c r="A93" s="253" t="s">
        <v>373</v>
      </c>
      <c r="B93" s="631" t="s">
        <v>365</v>
      </c>
      <c r="C93" s="631"/>
      <c r="D93" s="172"/>
      <c r="E93" s="631" t="s">
        <v>366</v>
      </c>
      <c r="F93" s="631"/>
    </row>
    <row r="94" spans="1:7" ht="14" customHeight="1">
      <c r="A94" s="253" t="s">
        <v>374</v>
      </c>
      <c r="B94" s="631" t="s">
        <v>367</v>
      </c>
      <c r="C94" s="631"/>
      <c r="D94" s="172"/>
      <c r="E94" s="631" t="s">
        <v>370</v>
      </c>
      <c r="F94" s="631"/>
    </row>
  </sheetData>
  <mergeCells count="29">
    <mergeCell ref="B93:C93"/>
    <mergeCell ref="E93:F93"/>
    <mergeCell ref="B94:C94"/>
    <mergeCell ref="E94:F94"/>
    <mergeCell ref="B91:C91"/>
    <mergeCell ref="E91:G91"/>
    <mergeCell ref="B92:C92"/>
    <mergeCell ref="E92:G92"/>
    <mergeCell ref="B47:G48"/>
    <mergeCell ref="F61:G64"/>
    <mergeCell ref="B60:C60"/>
    <mergeCell ref="B28:C28"/>
    <mergeCell ref="E28:F28"/>
    <mergeCell ref="B35:C35"/>
    <mergeCell ref="E35:F35"/>
    <mergeCell ref="B39:C39"/>
    <mergeCell ref="B87:G87"/>
    <mergeCell ref="B88:G88"/>
    <mergeCell ref="B49:G49"/>
    <mergeCell ref="B50:G50"/>
    <mergeCell ref="B51:G51"/>
    <mergeCell ref="B59:G59"/>
    <mergeCell ref="B66:G66"/>
    <mergeCell ref="C76:G76"/>
    <mergeCell ref="C78:G78"/>
    <mergeCell ref="C77:G77"/>
    <mergeCell ref="B54:G54"/>
    <mergeCell ref="B55:C55"/>
    <mergeCell ref="B53:C53"/>
  </mergeCells>
  <hyperlinks>
    <hyperlink ref="A1" location="HOME!A1" display="Back to Home" xr:uid="{00000000-0004-0000-0500-000000000000}"/>
    <hyperlink ref="A10" location="'B1. MASTER AGENT INPUTS'!A46" display="'B1. MASTER AGENT INPUTS'!A46" xr:uid="{9004BCBF-918E-3D4F-81C3-F32D5C796AF7}"/>
    <hyperlink ref="D6" location="'B1. MASTER AGENT INPUTS'!A47" display="'B1. MASTER AGENT INPUTS'!A47" xr:uid="{41AEB2E6-BEF2-5345-8D46-E0755E054183}"/>
    <hyperlink ref="D9" location="'B1. MASTER AGENT INPUTS'!A48" display="'B1. MASTER AGENT INPUTS'!A48" xr:uid="{D42725E9-7CAA-5B48-95F1-0B27C566625A}"/>
    <hyperlink ref="D29" location="'B1. MASTER AGENT INPUTS'!A88" display="'B1. MASTER AGENT INPUTS'!A88" xr:uid="{058B198C-4040-0446-97B0-86C73215E248}"/>
    <hyperlink ref="D17" location="'B1. MASTER AGENT INPUTS'!A66" display="'B1. MASTER AGENT INPUTS'!A66" xr:uid="{8F49439B-55E6-7643-A978-9EEBC19E7A63}"/>
    <hyperlink ref="A17" location="'B1. MASTER AGENT INPUTS'!A59" display="4B." xr:uid="{7DFC9D54-1501-F444-9271-4E544CDADBD5}"/>
    <hyperlink ref="A2" location="'B1. MASTER AGENT INPUTS'!A46" display="Important Note" xr:uid="{DB33F6C1-7A8A-FE4F-8D6E-33A96B0059B0}"/>
    <hyperlink ref="A11" location="'B1. MASTER AGENT INPUTS'!A53" display="'B1. MASTER AGENT INPUTS'!A53" xr:uid="{E6E2A5A5-8606-7640-A494-D1024DADC7AF}"/>
    <hyperlink ref="A29" location="'B1. MASTER AGENT INPUTS'!A87" display="'B1. MASTER AGENT INPUTS'!A87" xr:uid="{4A44597A-559A-4E4C-B5DF-C62D95610D41}"/>
    <hyperlink ref="E93" r:id="rId1" xr:uid="{BA63F5B8-8621-5C4A-8841-7BE4B32CF3E0}"/>
    <hyperlink ref="E94" r:id="rId2" xr:uid="{5B849013-3772-C044-82F5-6C59AEA896D7}"/>
  </hyperlinks>
  <pageMargins left="0.7" right="0.7" top="0.75" bottom="0.75" header="0.3" footer="0.3"/>
  <pageSetup paperSize="9" scale="84"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175"/>
  <sheetViews>
    <sheetView showGridLines="0" zoomScaleNormal="100" zoomScalePageLayoutView="120" workbookViewId="0"/>
  </sheetViews>
  <sheetFormatPr baseColWidth="10" defaultColWidth="9.1640625" defaultRowHeight="14" customHeight="1" outlineLevelRow="1"/>
  <cols>
    <col min="1" max="1" width="46.1640625" style="1" customWidth="1"/>
    <col min="2" max="6" width="13.33203125" style="1" customWidth="1"/>
    <col min="7" max="7" width="14" style="1" customWidth="1"/>
    <col min="8" max="11" width="13.33203125" style="1" customWidth="1"/>
    <col min="12" max="12" width="14.6640625" style="1" customWidth="1"/>
    <col min="13" max="37" width="13.33203125" style="1" customWidth="1"/>
    <col min="38" max="16384" width="9.1640625" style="1"/>
  </cols>
  <sheetData>
    <row r="1" spans="1:37" s="7" customFormat="1" ht="14" customHeight="1"/>
    <row r="2" spans="1:37" s="7" customFormat="1" ht="14" customHeight="1" thickBot="1">
      <c r="A2" s="430"/>
      <c r="B2" s="619" t="s">
        <v>62</v>
      </c>
      <c r="C2" s="619"/>
      <c r="D2" s="619"/>
      <c r="E2" s="619"/>
      <c r="F2"/>
      <c r="G2" s="430"/>
      <c r="H2" s="619" t="s">
        <v>85</v>
      </c>
      <c r="I2" s="619"/>
      <c r="J2" s="619"/>
      <c r="K2" s="619"/>
      <c r="M2" s="430"/>
      <c r="N2" s="619" t="s">
        <v>334</v>
      </c>
      <c r="O2" s="619"/>
      <c r="P2" s="619"/>
      <c r="Q2" s="619"/>
    </row>
    <row r="3" spans="1:37" s="7" customFormat="1" ht="14" customHeight="1">
      <c r="A3"/>
      <c r="B3" s="104" t="s">
        <v>59</v>
      </c>
      <c r="C3" s="104" t="s">
        <v>60</v>
      </c>
      <c r="D3" s="104" t="s">
        <v>61</v>
      </c>
      <c r="E3" s="527" t="s">
        <v>69</v>
      </c>
      <c r="H3" s="162" t="s">
        <v>59</v>
      </c>
      <c r="I3" s="162" t="s">
        <v>60</v>
      </c>
      <c r="J3" s="162" t="s">
        <v>61</v>
      </c>
      <c r="K3" s="527" t="s">
        <v>69</v>
      </c>
      <c r="N3" s="162" t="s">
        <v>59</v>
      </c>
      <c r="O3" s="162" t="s">
        <v>60</v>
      </c>
      <c r="P3" s="162" t="s">
        <v>61</v>
      </c>
      <c r="Q3" s="527" t="s">
        <v>69</v>
      </c>
    </row>
    <row r="4" spans="1:37" s="7" customFormat="1" ht="14" customHeight="1">
      <c r="A4" s="29" t="s">
        <v>182</v>
      </c>
      <c r="B4" s="105">
        <f>'A2. BASE MODEL'!B6</f>
        <v>12220038.289587626</v>
      </c>
      <c r="C4" s="105">
        <f>'A2. BASE MODEL'!C6</f>
        <v>19909477.441046335</v>
      </c>
      <c r="D4" s="105">
        <f>'A2. BASE MODEL'!D6</f>
        <v>32431807.438612878</v>
      </c>
      <c r="E4" s="528">
        <f>'A2. BASE MODEL'!E6</f>
        <v>64561323.169246837</v>
      </c>
      <c r="H4" s="162"/>
      <c r="I4" s="162"/>
      <c r="J4" s="162"/>
      <c r="K4" s="527"/>
      <c r="N4" s="162"/>
      <c r="O4" s="162"/>
      <c r="P4" s="162"/>
      <c r="Q4" s="527"/>
    </row>
    <row r="5" spans="1:37" s="7" customFormat="1" ht="14" customHeight="1">
      <c r="A5" s="29" t="s">
        <v>180</v>
      </c>
      <c r="B5" s="105">
        <f>'A2. BASE MODEL'!B5</f>
        <v>9861521.5767582022</v>
      </c>
      <c r="C5" s="105">
        <f>'A2. BASE MODEL'!C5</f>
        <v>14310962.641174722</v>
      </c>
      <c r="D5" s="105">
        <f>'A2. BASE MODEL'!D5</f>
        <v>20763455.704064794</v>
      </c>
      <c r="E5" s="528">
        <f>SUM(B5:D5)</f>
        <v>44935939.921997719</v>
      </c>
      <c r="G5" s="119" t="s">
        <v>34</v>
      </c>
      <c r="H5" s="120">
        <f>'A2. BASE MODEL'!I6</f>
        <v>14294.215367659104</v>
      </c>
      <c r="I5" s="121">
        <f>'A2. BASE MODEL'!J6</f>
        <v>20737.047603392493</v>
      </c>
      <c r="J5" s="121">
        <f>'A2. BASE MODEL'!K6</f>
        <v>30086.918688984802</v>
      </c>
      <c r="K5" s="530">
        <f>SUM(H5:J5)</f>
        <v>65118.181660036396</v>
      </c>
      <c r="M5" s="119" t="s">
        <v>34</v>
      </c>
      <c r="N5" s="120">
        <f>SUM('A2. BASE MODEL'!B55:M55)</f>
        <v>-307391.19871378661</v>
      </c>
      <c r="O5" s="121">
        <f>SUM('A2. BASE MODEL'!N55:Y55)</f>
        <v>-445987.01697045151</v>
      </c>
      <c r="P5" s="121">
        <f>SUM('A2. BASE MODEL'!Z55:AK55)</f>
        <v>-647072.590687291</v>
      </c>
      <c r="Q5" s="530">
        <f>SUM(N5:P5)</f>
        <v>-1400450.8063715291</v>
      </c>
      <c r="R5" s="558"/>
    </row>
    <row r="6" spans="1:37" s="7" customFormat="1" ht="14" customHeight="1" thickBot="1">
      <c r="A6" s="521" t="s">
        <v>70</v>
      </c>
      <c r="B6" s="522">
        <f>SUM(B81:M81)</f>
        <v>10795887.314509783</v>
      </c>
      <c r="C6" s="522">
        <f>SUM(N81:Y81)</f>
        <v>16664987.930772975</v>
      </c>
      <c r="D6" s="522">
        <f>SUM(Z81:AK81)</f>
        <v>25628806.311090745</v>
      </c>
      <c r="E6" s="529">
        <f>SUM(B6:D6)</f>
        <v>53089681.556373507</v>
      </c>
      <c r="G6" s="521" t="s">
        <v>70</v>
      </c>
      <c r="H6" s="532">
        <f>-SUM(B14:M14)</f>
        <v>11030.82494065733</v>
      </c>
      <c r="I6" s="532">
        <f>-SUM(N14:Y14)</f>
        <v>16958.870927652919</v>
      </c>
      <c r="J6" s="532">
        <f>-SUM(Z14:AK14)</f>
        <v>26075.257865378939</v>
      </c>
      <c r="K6" s="531">
        <f>SUM(H6:J6)</f>
        <v>54064.953733689188</v>
      </c>
      <c r="M6" s="521" t="s">
        <v>70</v>
      </c>
      <c r="N6" s="532">
        <f>SUM(B77:M77)</f>
        <v>-227395.65328145277</v>
      </c>
      <c r="O6" s="532">
        <f>SUM(N77:Y77)</f>
        <v>-284119.43569232093</v>
      </c>
      <c r="P6" s="532">
        <f>SUM(Z77:AK77)</f>
        <v>-431365.4074408802</v>
      </c>
      <c r="Q6" s="531">
        <f>SUM(N6:P6)</f>
        <v>-942880.49641465396</v>
      </c>
      <c r="R6" s="557"/>
    </row>
    <row r="7" spans="1:37" s="7" customFormat="1" ht="30" customHeight="1">
      <c r="A7" s="520" t="s">
        <v>323</v>
      </c>
      <c r="B7" s="546">
        <f>B6-B5</f>
        <v>934365.73775158077</v>
      </c>
      <c r="C7" s="546">
        <f t="shared" ref="C7:D7" si="0">C6-C5</f>
        <v>2354025.2895982526</v>
      </c>
      <c r="D7" s="546">
        <f t="shared" si="0"/>
        <v>4865350.6070259511</v>
      </c>
      <c r="E7" s="546">
        <f>E6-E5</f>
        <v>8153741.6343757883</v>
      </c>
      <c r="G7" s="547" t="s">
        <v>142</v>
      </c>
      <c r="H7" s="548">
        <f>H5-H6</f>
        <v>3263.3904270017738</v>
      </c>
      <c r="I7" s="548">
        <f>I5-I6</f>
        <v>3778.1766757395744</v>
      </c>
      <c r="J7" s="548">
        <f>J5-J6</f>
        <v>4011.6608236058637</v>
      </c>
      <c r="K7" s="548">
        <f>SUM(H7:J7)</f>
        <v>11053.227926347212</v>
      </c>
      <c r="M7" s="547" t="s">
        <v>335</v>
      </c>
      <c r="N7" s="548">
        <f>N5-N6</f>
        <v>-79995.545432333834</v>
      </c>
      <c r="O7" s="548">
        <f>O5-O6</f>
        <v>-161867.58127813059</v>
      </c>
      <c r="P7" s="548">
        <f>P5-P6</f>
        <v>-215707.1832464108</v>
      </c>
      <c r="Q7" s="548">
        <f>SUM(N7:P7)</f>
        <v>-457570.30995687522</v>
      </c>
      <c r="R7" s="548"/>
    </row>
    <row r="8" spans="1:37" s="7" customFormat="1" ht="14" customHeight="1">
      <c r="A8" s="523" t="s">
        <v>322</v>
      </c>
      <c r="B8" s="524">
        <f>B7/B5</f>
        <v>9.4748637974256367E-2</v>
      </c>
      <c r="C8" s="524">
        <f t="shared" ref="C8:E8" si="1">C7/C5</f>
        <v>0.16449105127459276</v>
      </c>
      <c r="D8" s="524">
        <f t="shared" si="1"/>
        <v>0.23432277730500695</v>
      </c>
      <c r="E8" s="524">
        <f t="shared" si="1"/>
        <v>0.18145256666555773</v>
      </c>
      <c r="F8" s="525"/>
      <c r="G8" s="523" t="s">
        <v>322</v>
      </c>
      <c r="H8" s="526">
        <f>H7/H5</f>
        <v>0.22830147322288483</v>
      </c>
      <c r="I8" s="526">
        <f t="shared" ref="I8" si="2">I7/I5</f>
        <v>0.18219453164207813</v>
      </c>
      <c r="J8" s="526">
        <f t="shared" ref="J8:K8" si="3">J7/J5</f>
        <v>0.13333571526799728</v>
      </c>
      <c r="K8" s="526">
        <f t="shared" si="3"/>
        <v>0.16974104074424234</v>
      </c>
      <c r="L8" s="525"/>
      <c r="M8" s="523" t="s">
        <v>322</v>
      </c>
      <c r="N8" s="526">
        <f>N7/N5</f>
        <v>0.26024019479756821</v>
      </c>
      <c r="O8" s="526">
        <f t="shared" ref="O8:Q8" si="4">O7/O5</f>
        <v>0.36294236181510858</v>
      </c>
      <c r="P8" s="526">
        <f t="shared" si="4"/>
        <v>0.33335855412651072</v>
      </c>
      <c r="Q8" s="526">
        <f t="shared" si="4"/>
        <v>0.32673072690243804</v>
      </c>
      <c r="R8" s="526"/>
    </row>
    <row r="9" spans="1:37" s="373" customFormat="1" ht="18" thickBot="1">
      <c r="A9" s="311" t="s">
        <v>244</v>
      </c>
      <c r="B9" s="374"/>
      <c r="C9" s="374"/>
      <c r="D9" s="374"/>
      <c r="E9" s="374"/>
      <c r="F9" s="374"/>
      <c r="G9" s="374"/>
      <c r="H9" s="374"/>
      <c r="I9" s="374"/>
      <c r="J9" s="374"/>
      <c r="K9" s="374"/>
      <c r="L9" s="374"/>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row>
    <row r="10" spans="1:37" s="292" customFormat="1" ht="14" customHeight="1" thickTop="1">
      <c r="A10" s="266"/>
      <c r="B10" s="375" t="s">
        <v>5</v>
      </c>
      <c r="C10" s="375" t="s">
        <v>6</v>
      </c>
      <c r="D10" s="375" t="s">
        <v>7</v>
      </c>
      <c r="E10" s="375" t="s">
        <v>8</v>
      </c>
      <c r="F10" s="375" t="s">
        <v>9</v>
      </c>
      <c r="G10" s="375" t="s">
        <v>10</v>
      </c>
      <c r="H10" s="375" t="s">
        <v>11</v>
      </c>
      <c r="I10" s="375" t="s">
        <v>12</v>
      </c>
      <c r="J10" s="375" t="s">
        <v>13</v>
      </c>
      <c r="K10" s="375" t="s">
        <v>14</v>
      </c>
      <c r="L10" s="375" t="s">
        <v>15</v>
      </c>
      <c r="M10" s="375" t="s">
        <v>16</v>
      </c>
      <c r="N10" s="375" t="s">
        <v>17</v>
      </c>
      <c r="O10" s="375" t="s">
        <v>18</v>
      </c>
      <c r="P10" s="375" t="s">
        <v>19</v>
      </c>
      <c r="Q10" s="375" t="s">
        <v>20</v>
      </c>
      <c r="R10" s="375" t="s">
        <v>21</v>
      </c>
      <c r="S10" s="375" t="s">
        <v>22</v>
      </c>
      <c r="T10" s="375" t="s">
        <v>23</v>
      </c>
      <c r="U10" s="375" t="s">
        <v>24</v>
      </c>
      <c r="V10" s="375" t="s">
        <v>25</v>
      </c>
      <c r="W10" s="375" t="s">
        <v>26</v>
      </c>
      <c r="X10" s="375" t="s">
        <v>27</v>
      </c>
      <c r="Y10" s="375" t="s">
        <v>28</v>
      </c>
      <c r="Z10" s="375" t="s">
        <v>46</v>
      </c>
      <c r="AA10" s="375" t="s">
        <v>47</v>
      </c>
      <c r="AB10" s="375" t="s">
        <v>48</v>
      </c>
      <c r="AC10" s="375" t="s">
        <v>49</v>
      </c>
      <c r="AD10" s="375" t="s">
        <v>50</v>
      </c>
      <c r="AE10" s="375" t="s">
        <v>51</v>
      </c>
      <c r="AF10" s="375" t="s">
        <v>52</v>
      </c>
      <c r="AG10" s="375" t="s">
        <v>53</v>
      </c>
      <c r="AH10" s="375" t="s">
        <v>54</v>
      </c>
      <c r="AI10" s="375" t="s">
        <v>55</v>
      </c>
      <c r="AJ10" s="375" t="s">
        <v>56</v>
      </c>
      <c r="AK10" s="375" t="s">
        <v>57</v>
      </c>
    </row>
    <row r="11" spans="1:37" s="5" customFormat="1" ht="14" customHeight="1">
      <c r="A11" s="378" t="s">
        <v>0</v>
      </c>
      <c r="B11" s="42"/>
    </row>
    <row r="12" spans="1:37" s="13" customFormat="1" ht="14" customHeight="1" outlineLevel="1">
      <c r="A12" s="266" t="s">
        <v>2</v>
      </c>
      <c r="B12" s="22">
        <f>'A1. BASE MODEL INPUTS'!$B$5</f>
        <v>50000</v>
      </c>
      <c r="C12" s="23">
        <f t="shared" ref="C12:AK12" si="5">B15</f>
        <v>51750</v>
      </c>
      <c r="D12" s="23">
        <f t="shared" si="5"/>
        <v>53638.875</v>
      </c>
      <c r="E12" s="23">
        <f t="shared" si="5"/>
        <v>55596.6939375</v>
      </c>
      <c r="F12" s="23">
        <f t="shared" si="5"/>
        <v>57625.973266218753</v>
      </c>
      <c r="G12" s="23">
        <f t="shared" si="5"/>
        <v>59729.321290435742</v>
      </c>
      <c r="H12" s="23">
        <f t="shared" si="5"/>
        <v>61909.441517536645</v>
      </c>
      <c r="I12" s="23">
        <f t="shared" si="5"/>
        <v>64169.136132926738</v>
      </c>
      <c r="J12" s="23">
        <f t="shared" si="5"/>
        <v>66511.309601778572</v>
      </c>
      <c r="K12" s="23">
        <f t="shared" si="5"/>
        <v>68938.972402243482</v>
      </c>
      <c r="L12" s="23">
        <f t="shared" si="5"/>
        <v>71455.244894925359</v>
      </c>
      <c r="M12" s="23">
        <f>L15</f>
        <v>74063.361333590132</v>
      </c>
      <c r="N12" s="23">
        <f>M15</f>
        <v>76766.674022266176</v>
      </c>
      <c r="O12" s="23">
        <f t="shared" si="5"/>
        <v>79568.6576240789</v>
      </c>
      <c r="P12" s="23">
        <f t="shared" si="5"/>
        <v>82472.913627357775</v>
      </c>
      <c r="Q12" s="23">
        <f t="shared" si="5"/>
        <v>85483.174974756344</v>
      </c>
      <c r="R12" s="23">
        <f t="shared" si="5"/>
        <v>88603.310861334947</v>
      </c>
      <c r="S12" s="23">
        <f t="shared" si="5"/>
        <v>91837.331707773672</v>
      </c>
      <c r="T12" s="23">
        <f t="shared" si="5"/>
        <v>95189.394315107405</v>
      </c>
      <c r="U12" s="23">
        <f t="shared" si="5"/>
        <v>98663.807207608828</v>
      </c>
      <c r="V12" s="23">
        <f t="shared" si="5"/>
        <v>102265.03617068655</v>
      </c>
      <c r="W12" s="23">
        <f t="shared" si="5"/>
        <v>105997.70999091661</v>
      </c>
      <c r="X12" s="23">
        <f t="shared" si="5"/>
        <v>109866.62640558508</v>
      </c>
      <c r="Y12" s="23">
        <f t="shared" si="5"/>
        <v>113876.75826938894</v>
      </c>
      <c r="Z12" s="23">
        <f t="shared" si="5"/>
        <v>118033.25994622163</v>
      </c>
      <c r="AA12" s="23">
        <f t="shared" si="5"/>
        <v>122341.47393425873</v>
      </c>
      <c r="AB12" s="23">
        <f t="shared" si="5"/>
        <v>126806.93773285917</v>
      </c>
      <c r="AC12" s="23">
        <f t="shared" si="5"/>
        <v>131435.39096010852</v>
      </c>
      <c r="AD12" s="23">
        <f t="shared" si="5"/>
        <v>136232.78273015248</v>
      </c>
      <c r="AE12" s="23">
        <f t="shared" si="5"/>
        <v>141205.27929980305</v>
      </c>
      <c r="AF12" s="23">
        <f t="shared" si="5"/>
        <v>146359.27199424585</v>
      </c>
      <c r="AG12" s="23">
        <f t="shared" si="5"/>
        <v>151701.38542203582</v>
      </c>
      <c r="AH12" s="23">
        <f t="shared" si="5"/>
        <v>157238.48598994012</v>
      </c>
      <c r="AI12" s="23">
        <f t="shared" si="5"/>
        <v>162977.69072857292</v>
      </c>
      <c r="AJ12" s="23">
        <f t="shared" si="5"/>
        <v>168926.37644016583</v>
      </c>
      <c r="AK12" s="23">
        <f t="shared" si="5"/>
        <v>175092.18918023186</v>
      </c>
    </row>
    <row r="13" spans="1:37" s="5" customFormat="1" ht="14" customHeight="1" outlineLevel="1">
      <c r="A13" s="266" t="s">
        <v>3</v>
      </c>
      <c r="B13" s="289">
        <f>'A1. BASE MODEL INPUTS'!$B$8</f>
        <v>2500</v>
      </c>
      <c r="C13" s="288">
        <f>C12*'A1. BASE MODEL INPUTS'!$B$6*(1+'A1. BASE MODEL INPUTS'!$B$7)</f>
        <v>2665.125</v>
      </c>
      <c r="D13" s="288">
        <f>D12*'A1. BASE MODEL INPUTS'!$B$6*(1+'A1. BASE MODEL INPUTS'!$B$7)</f>
        <v>2762.4020625000003</v>
      </c>
      <c r="E13" s="288">
        <f>E12*'A1. BASE MODEL INPUTS'!$B$6*(1+'A1. BASE MODEL INPUTS'!$B$7)</f>
        <v>2863.2297377812502</v>
      </c>
      <c r="F13" s="288">
        <f>F12*'A1. BASE MODEL INPUTS'!$B$6*(1+'A1. BASE MODEL INPUTS'!$B$7)</f>
        <v>2967.7376232102656</v>
      </c>
      <c r="G13" s="288">
        <f>G12*'A1. BASE MODEL INPUTS'!$B$6*(1+'A1. BASE MODEL INPUTS'!$B$7)</f>
        <v>3076.0600464574409</v>
      </c>
      <c r="H13" s="288">
        <f>H12*'A1. BASE MODEL INPUTS'!$B$6*(1+'A1. BASE MODEL INPUTS'!$B$7)</f>
        <v>3188.3362381531379</v>
      </c>
      <c r="I13" s="288">
        <f>I12*'A1. BASE MODEL INPUTS'!$B$6*(1+'A1. BASE MODEL INPUTS'!$B$7)</f>
        <v>3304.7105108457272</v>
      </c>
      <c r="J13" s="288">
        <f>J12*'A1. BASE MODEL INPUTS'!$B$6*(1+'A1. BASE MODEL INPUTS'!$B$7)</f>
        <v>3425.3324444915966</v>
      </c>
      <c r="K13" s="288">
        <f>K12*'A1. BASE MODEL INPUTS'!$B$6*(1+'A1. BASE MODEL INPUTS'!$B$7)</f>
        <v>3550.35707871554</v>
      </c>
      <c r="L13" s="288">
        <f>L12*'A1. BASE MODEL INPUTS'!$B$6*(1+'A1. BASE MODEL INPUTS'!$B$7)</f>
        <v>3679.9451120886565</v>
      </c>
      <c r="M13" s="288">
        <f>M12*'A1. BASE MODEL INPUTS'!$B$6*(1+'A1. BASE MODEL INPUTS'!$B$7)</f>
        <v>3814.263108679892</v>
      </c>
      <c r="N13" s="288">
        <f>N12*'A1. BASE MODEL INPUTS'!$B$6*(1+'A1. BASE MODEL INPUTS'!$B$7)</f>
        <v>3953.4837121467085</v>
      </c>
      <c r="O13" s="288">
        <f>O12*'A1. BASE MODEL INPUTS'!$B$6*(1+'A1. BASE MODEL INPUTS'!$B$7)</f>
        <v>4097.7858676400638</v>
      </c>
      <c r="P13" s="288">
        <f>P12*'A1. BASE MODEL INPUTS'!$B$6*(1+'A1. BASE MODEL INPUTS'!$B$7)</f>
        <v>4247.355051808926</v>
      </c>
      <c r="Q13" s="288">
        <f>Q12*'A1. BASE MODEL INPUTS'!$B$6*(1+'A1. BASE MODEL INPUTS'!$B$7)</f>
        <v>4402.3835111999524</v>
      </c>
      <c r="R13" s="288">
        <f>R12*'A1. BASE MODEL INPUTS'!$B$6*(1+'A1. BASE MODEL INPUTS'!$B$7)</f>
        <v>4563.0705093587503</v>
      </c>
      <c r="S13" s="288">
        <f>S12*'A1. BASE MODEL INPUTS'!$B$6*(1+'A1. BASE MODEL INPUTS'!$B$7)</f>
        <v>4729.6225829503446</v>
      </c>
      <c r="T13" s="288">
        <f>T12*'A1. BASE MODEL INPUTS'!$B$6*(1+'A1. BASE MODEL INPUTS'!$B$7)</f>
        <v>4902.2538072280313</v>
      </c>
      <c r="U13" s="288">
        <f>U12*'A1. BASE MODEL INPUTS'!$B$6*(1+'A1. BASE MODEL INPUTS'!$B$7)</f>
        <v>5081.1860711918553</v>
      </c>
      <c r="V13" s="288">
        <f>V12*'A1. BASE MODEL INPUTS'!$B$6*(1+'A1. BASE MODEL INPUTS'!$B$7)</f>
        <v>5266.6493627903583</v>
      </c>
      <c r="W13" s="288">
        <f>W12*'A1. BASE MODEL INPUTS'!$B$6*(1+'A1. BASE MODEL INPUTS'!$B$7)</f>
        <v>5458.8820645322066</v>
      </c>
      <c r="X13" s="288">
        <f>X12*'A1. BASE MODEL INPUTS'!$B$6*(1+'A1. BASE MODEL INPUTS'!$B$7)</f>
        <v>5658.131259887632</v>
      </c>
      <c r="Y13" s="288">
        <f>Y12*'A1. BASE MODEL INPUTS'!$B$6*(1+'A1. BASE MODEL INPUTS'!$B$7)</f>
        <v>5864.6530508735314</v>
      </c>
      <c r="Z13" s="288">
        <f>Z12*'A1. BASE MODEL INPUTS'!$B$6*(1+'A1. BASE MODEL INPUTS'!$B$7)</f>
        <v>6078.7128872304147</v>
      </c>
      <c r="AA13" s="288">
        <f>AA12*'A1. BASE MODEL INPUTS'!$B$6*(1+'A1. BASE MODEL INPUTS'!$B$7)</f>
        <v>6300.5859076143252</v>
      </c>
      <c r="AB13" s="288">
        <f>AB12*'A1. BASE MODEL INPUTS'!$B$6*(1+'A1. BASE MODEL INPUTS'!$B$7)</f>
        <v>6530.5572932422474</v>
      </c>
      <c r="AC13" s="288">
        <f>AC12*'A1. BASE MODEL INPUTS'!$B$6*(1+'A1. BASE MODEL INPUTS'!$B$7)</f>
        <v>6768.9226344455892</v>
      </c>
      <c r="AD13" s="288">
        <f>AD12*'A1. BASE MODEL INPUTS'!$B$6*(1+'A1. BASE MODEL INPUTS'!$B$7)</f>
        <v>7015.9883106028528</v>
      </c>
      <c r="AE13" s="288">
        <f>AE12*'A1. BASE MODEL INPUTS'!$B$6*(1+'A1. BASE MODEL INPUTS'!$B$7)</f>
        <v>7272.0718839398578</v>
      </c>
      <c r="AF13" s="288">
        <f>AF12*'A1. BASE MODEL INPUTS'!$B$6*(1+'A1. BASE MODEL INPUTS'!$B$7)</f>
        <v>7537.5025077036626</v>
      </c>
      <c r="AG13" s="288">
        <f>AG12*'A1. BASE MODEL INPUTS'!$B$6*(1+'A1. BASE MODEL INPUTS'!$B$7)</f>
        <v>7812.6213492348452</v>
      </c>
      <c r="AH13" s="288">
        <f>AH12*'A1. BASE MODEL INPUTS'!$B$6*(1+'A1. BASE MODEL INPUTS'!$B$7)</f>
        <v>8097.7820284819163</v>
      </c>
      <c r="AI13" s="288">
        <f>AI12*'A1. BASE MODEL INPUTS'!$B$6*(1+'A1. BASE MODEL INPUTS'!$B$7)</f>
        <v>8393.3510725215056</v>
      </c>
      <c r="AJ13" s="288">
        <f>AJ12*'A1. BASE MODEL INPUTS'!$B$6*(1+'A1. BASE MODEL INPUTS'!$B$7)</f>
        <v>8699.7083866685407</v>
      </c>
      <c r="AK13" s="288">
        <f>AK12*'A1. BASE MODEL INPUTS'!$B$6*(1+'A1. BASE MODEL INPUTS'!$B$7)</f>
        <v>9017.2477427819413</v>
      </c>
    </row>
    <row r="14" spans="1:37" s="13" customFormat="1" ht="14" customHeight="1" outlineLevel="1">
      <c r="A14" s="266" t="s">
        <v>189</v>
      </c>
      <c r="B14" s="24">
        <f>-B12*'B1. MASTER AGENT INPUTS'!$E$32</f>
        <v>-750</v>
      </c>
      <c r="C14" s="24">
        <f>-C12*'B1. MASTER AGENT INPUTS'!$E$32</f>
        <v>-776.25</v>
      </c>
      <c r="D14" s="24">
        <f>-D12*'B1. MASTER AGENT INPUTS'!$E$32</f>
        <v>-804.583125</v>
      </c>
      <c r="E14" s="24">
        <f>-E12*'B1. MASTER AGENT INPUTS'!$E$32</f>
        <v>-833.95040906249994</v>
      </c>
      <c r="F14" s="24">
        <f>-F12*'B1. MASTER AGENT INPUTS'!$E$32</f>
        <v>-864.38959899328131</v>
      </c>
      <c r="G14" s="24">
        <f>-G12*'B1. MASTER AGENT INPUTS'!$E$32</f>
        <v>-895.93981935653608</v>
      </c>
      <c r="H14" s="24">
        <f>-H12*'B1. MASTER AGENT INPUTS'!$E$32</f>
        <v>-928.64162276304967</v>
      </c>
      <c r="I14" s="24">
        <f>-I12*'B1. MASTER AGENT INPUTS'!$E$32</f>
        <v>-962.53704199390108</v>
      </c>
      <c r="J14" s="24">
        <f>-J12*'B1. MASTER AGENT INPUTS'!$E$32</f>
        <v>-997.6696440266785</v>
      </c>
      <c r="K14" s="24">
        <f>-K12*'B1. MASTER AGENT INPUTS'!$E$32</f>
        <v>-1034.0845860336522</v>
      </c>
      <c r="L14" s="24">
        <f>-L12*'B1. MASTER AGENT INPUTS'!$E$32</f>
        <v>-1071.8286734238804</v>
      </c>
      <c r="M14" s="24">
        <f>-M12*'B1. MASTER AGENT INPUTS'!$E$32</f>
        <v>-1110.9504200038518</v>
      </c>
      <c r="N14" s="24">
        <f>-N12*'B1. MASTER AGENT INPUTS'!$E$32</f>
        <v>-1151.5001103339926</v>
      </c>
      <c r="O14" s="24">
        <f>-O12*'B1. MASTER AGENT INPUTS'!$E$32</f>
        <v>-1193.5298643611834</v>
      </c>
      <c r="P14" s="24">
        <f>-P12*'B1. MASTER AGENT INPUTS'!$E$32</f>
        <v>-1237.0937044103666</v>
      </c>
      <c r="Q14" s="24">
        <f>-Q12*'B1. MASTER AGENT INPUTS'!$E$32</f>
        <v>-1282.247624621345</v>
      </c>
      <c r="R14" s="24">
        <f>-R12*'B1. MASTER AGENT INPUTS'!$E$32</f>
        <v>-1329.049662920024</v>
      </c>
      <c r="S14" s="24">
        <f>-S12*'B1. MASTER AGENT INPUTS'!$E$32</f>
        <v>-1377.559975616605</v>
      </c>
      <c r="T14" s="24">
        <f>-T12*'B1. MASTER AGENT INPUTS'!$E$32</f>
        <v>-1427.8409147266111</v>
      </c>
      <c r="U14" s="24">
        <f>-U12*'B1. MASTER AGENT INPUTS'!$E$32</f>
        <v>-1479.9571081141323</v>
      </c>
      <c r="V14" s="24">
        <f>-V12*'B1. MASTER AGENT INPUTS'!$E$32</f>
        <v>-1533.9755425602982</v>
      </c>
      <c r="W14" s="24">
        <f>-W12*'B1. MASTER AGENT INPUTS'!$E$32</f>
        <v>-1589.9656498637491</v>
      </c>
      <c r="X14" s="24">
        <f>-X12*'B1. MASTER AGENT INPUTS'!$E$32</f>
        <v>-1647.999396083776</v>
      </c>
      <c r="Y14" s="24">
        <f>-Y12*'B1. MASTER AGENT INPUTS'!$E$32</f>
        <v>-1708.1513740408341</v>
      </c>
      <c r="Z14" s="24">
        <f>-Z12*'B1. MASTER AGENT INPUTS'!$E$32</f>
        <v>-1770.4988991933244</v>
      </c>
      <c r="AA14" s="24">
        <f>-AA12*'B1. MASTER AGENT INPUTS'!$E$32</f>
        <v>-1835.1221090138808</v>
      </c>
      <c r="AB14" s="24">
        <f>-AB12*'B1. MASTER AGENT INPUTS'!$E$32</f>
        <v>-1902.1040659928874</v>
      </c>
      <c r="AC14" s="24">
        <f>-AC12*'B1. MASTER AGENT INPUTS'!$E$32</f>
        <v>-1971.5308644016277</v>
      </c>
      <c r="AD14" s="24">
        <f>-AD12*'B1. MASTER AGENT INPUTS'!$E$32</f>
        <v>-2043.491740952287</v>
      </c>
      <c r="AE14" s="24">
        <f>-AE12*'B1. MASTER AGENT INPUTS'!$E$32</f>
        <v>-2118.0791894970457</v>
      </c>
      <c r="AF14" s="24">
        <f>-AF12*'B1. MASTER AGENT INPUTS'!$E$32</f>
        <v>-2195.3890799136875</v>
      </c>
      <c r="AG14" s="24">
        <f>-AG12*'B1. MASTER AGENT INPUTS'!$E$32</f>
        <v>-2275.5207813305374</v>
      </c>
      <c r="AH14" s="24">
        <f>-AH12*'B1. MASTER AGENT INPUTS'!$E$32</f>
        <v>-2358.5772898491018</v>
      </c>
      <c r="AI14" s="24">
        <f>-AI12*'B1. MASTER AGENT INPUTS'!$E$32</f>
        <v>-2444.6653609285936</v>
      </c>
      <c r="AJ14" s="24">
        <f>-AJ12*'B1. MASTER AGENT INPUTS'!$E$32</f>
        <v>-2533.8956466024874</v>
      </c>
      <c r="AK14" s="24">
        <f>-AK12*'B1. MASTER AGENT INPUTS'!$E$32</f>
        <v>-2626.3828377034779</v>
      </c>
    </row>
    <row r="15" spans="1:37" s="13" customFormat="1" ht="14" customHeight="1" outlineLevel="1">
      <c r="A15" s="266" t="s">
        <v>190</v>
      </c>
      <c r="B15" s="24">
        <f t="shared" ref="B15:AK15" si="6">SUM(B12:B14)</f>
        <v>51750</v>
      </c>
      <c r="C15" s="24">
        <f t="shared" si="6"/>
        <v>53638.875</v>
      </c>
      <c r="D15" s="24">
        <f t="shared" si="6"/>
        <v>55596.6939375</v>
      </c>
      <c r="E15" s="24">
        <f t="shared" si="6"/>
        <v>57625.973266218753</v>
      </c>
      <c r="F15" s="24">
        <f t="shared" si="6"/>
        <v>59729.321290435742</v>
      </c>
      <c r="G15" s="24">
        <f t="shared" si="6"/>
        <v>61909.441517536645</v>
      </c>
      <c r="H15" s="24">
        <f t="shared" si="6"/>
        <v>64169.136132926738</v>
      </c>
      <c r="I15" s="24">
        <f t="shared" si="6"/>
        <v>66511.309601778572</v>
      </c>
      <c r="J15" s="24">
        <f t="shared" si="6"/>
        <v>68938.972402243482</v>
      </c>
      <c r="K15" s="24">
        <f t="shared" si="6"/>
        <v>71455.244894925359</v>
      </c>
      <c r="L15" s="24">
        <f t="shared" si="6"/>
        <v>74063.361333590132</v>
      </c>
      <c r="M15" s="24">
        <f t="shared" si="6"/>
        <v>76766.674022266176</v>
      </c>
      <c r="N15" s="24">
        <f t="shared" si="6"/>
        <v>79568.6576240789</v>
      </c>
      <c r="O15" s="24">
        <f t="shared" si="6"/>
        <v>82472.913627357775</v>
      </c>
      <c r="P15" s="24">
        <f t="shared" si="6"/>
        <v>85483.174974756344</v>
      </c>
      <c r="Q15" s="24">
        <f t="shared" si="6"/>
        <v>88603.310861334947</v>
      </c>
      <c r="R15" s="24">
        <f t="shared" si="6"/>
        <v>91837.331707773672</v>
      </c>
      <c r="S15" s="24">
        <f t="shared" si="6"/>
        <v>95189.394315107405</v>
      </c>
      <c r="T15" s="24">
        <f t="shared" si="6"/>
        <v>98663.807207608828</v>
      </c>
      <c r="U15" s="24">
        <f t="shared" si="6"/>
        <v>102265.03617068655</v>
      </c>
      <c r="V15" s="24">
        <f t="shared" si="6"/>
        <v>105997.70999091661</v>
      </c>
      <c r="W15" s="24">
        <f t="shared" si="6"/>
        <v>109866.62640558508</v>
      </c>
      <c r="X15" s="24">
        <f t="shared" si="6"/>
        <v>113876.75826938894</v>
      </c>
      <c r="Y15" s="24">
        <f t="shared" si="6"/>
        <v>118033.25994622163</v>
      </c>
      <c r="Z15" s="24">
        <f t="shared" si="6"/>
        <v>122341.47393425873</v>
      </c>
      <c r="AA15" s="24">
        <f t="shared" si="6"/>
        <v>126806.93773285917</v>
      </c>
      <c r="AB15" s="24">
        <f t="shared" si="6"/>
        <v>131435.39096010852</v>
      </c>
      <c r="AC15" s="24">
        <f t="shared" si="6"/>
        <v>136232.78273015248</v>
      </c>
      <c r="AD15" s="24">
        <f t="shared" si="6"/>
        <v>141205.27929980305</v>
      </c>
      <c r="AE15" s="24">
        <f t="shared" si="6"/>
        <v>146359.27199424585</v>
      </c>
      <c r="AF15" s="24">
        <f t="shared" si="6"/>
        <v>151701.38542203582</v>
      </c>
      <c r="AG15" s="24">
        <f t="shared" si="6"/>
        <v>157238.48598994012</v>
      </c>
      <c r="AH15" s="24">
        <f t="shared" si="6"/>
        <v>162977.69072857292</v>
      </c>
      <c r="AI15" s="24">
        <f t="shared" si="6"/>
        <v>168926.37644016583</v>
      </c>
      <c r="AJ15" s="24">
        <f t="shared" si="6"/>
        <v>175092.18918023186</v>
      </c>
      <c r="AK15" s="24">
        <f t="shared" si="6"/>
        <v>181483.05408531032</v>
      </c>
    </row>
    <row r="16" spans="1:37" s="13" customFormat="1" ht="14" customHeight="1">
      <c r="A16" s="380"/>
      <c r="B16" s="24"/>
      <c r="C16" s="25"/>
      <c r="D16" s="25"/>
      <c r="E16" s="25"/>
      <c r="F16" s="25"/>
      <c r="G16" s="25"/>
      <c r="H16" s="26"/>
      <c r="I16" s="27"/>
      <c r="J16" s="28"/>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row>
    <row r="17" spans="1:37" s="5" customFormat="1" ht="14" customHeight="1" thickBot="1">
      <c r="A17" s="391" t="s">
        <v>101</v>
      </c>
      <c r="B17" s="392"/>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393"/>
      <c r="AG17" s="393"/>
      <c r="AH17" s="393"/>
      <c r="AI17" s="393"/>
      <c r="AJ17" s="393"/>
      <c r="AK17" s="393"/>
    </row>
    <row r="18" spans="1:37" s="13" customFormat="1" ht="14" customHeight="1" outlineLevel="1">
      <c r="A18" s="265" t="s">
        <v>191</v>
      </c>
      <c r="B18" s="24">
        <f t="shared" ref="B18:AK18" si="7">B13</f>
        <v>2500</v>
      </c>
      <c r="C18" s="24">
        <f t="shared" si="7"/>
        <v>2665.125</v>
      </c>
      <c r="D18" s="24">
        <f t="shared" si="7"/>
        <v>2762.4020625000003</v>
      </c>
      <c r="E18" s="24">
        <f t="shared" si="7"/>
        <v>2863.2297377812502</v>
      </c>
      <c r="F18" s="24">
        <f t="shared" si="7"/>
        <v>2967.7376232102656</v>
      </c>
      <c r="G18" s="24">
        <f t="shared" si="7"/>
        <v>3076.0600464574409</v>
      </c>
      <c r="H18" s="24">
        <f t="shared" si="7"/>
        <v>3188.3362381531379</v>
      </c>
      <c r="I18" s="24">
        <f t="shared" si="7"/>
        <v>3304.7105108457272</v>
      </c>
      <c r="J18" s="24">
        <f t="shared" si="7"/>
        <v>3425.3324444915966</v>
      </c>
      <c r="K18" s="24">
        <f t="shared" si="7"/>
        <v>3550.35707871554</v>
      </c>
      <c r="L18" s="24">
        <f t="shared" si="7"/>
        <v>3679.9451120886565</v>
      </c>
      <c r="M18" s="24">
        <f t="shared" si="7"/>
        <v>3814.263108679892</v>
      </c>
      <c r="N18" s="24">
        <f t="shared" si="7"/>
        <v>3953.4837121467085</v>
      </c>
      <c r="O18" s="24">
        <f t="shared" si="7"/>
        <v>4097.7858676400638</v>
      </c>
      <c r="P18" s="24">
        <f t="shared" si="7"/>
        <v>4247.355051808926</v>
      </c>
      <c r="Q18" s="24">
        <f t="shared" si="7"/>
        <v>4402.3835111999524</v>
      </c>
      <c r="R18" s="24">
        <f t="shared" si="7"/>
        <v>4563.0705093587503</v>
      </c>
      <c r="S18" s="24">
        <f t="shared" si="7"/>
        <v>4729.6225829503446</v>
      </c>
      <c r="T18" s="24">
        <f t="shared" si="7"/>
        <v>4902.2538072280313</v>
      </c>
      <c r="U18" s="24">
        <f t="shared" si="7"/>
        <v>5081.1860711918553</v>
      </c>
      <c r="V18" s="24">
        <f t="shared" si="7"/>
        <v>5266.6493627903583</v>
      </c>
      <c r="W18" s="24">
        <f t="shared" si="7"/>
        <v>5458.8820645322066</v>
      </c>
      <c r="X18" s="24">
        <f t="shared" si="7"/>
        <v>5658.131259887632</v>
      </c>
      <c r="Y18" s="24">
        <f t="shared" si="7"/>
        <v>5864.6530508735314</v>
      </c>
      <c r="Z18" s="24">
        <f t="shared" si="7"/>
        <v>6078.7128872304147</v>
      </c>
      <c r="AA18" s="24">
        <f t="shared" si="7"/>
        <v>6300.5859076143252</v>
      </c>
      <c r="AB18" s="24">
        <f t="shared" si="7"/>
        <v>6530.5572932422474</v>
      </c>
      <c r="AC18" s="24">
        <f t="shared" si="7"/>
        <v>6768.9226344455892</v>
      </c>
      <c r="AD18" s="24">
        <f t="shared" si="7"/>
        <v>7015.9883106028528</v>
      </c>
      <c r="AE18" s="24">
        <f t="shared" si="7"/>
        <v>7272.0718839398578</v>
      </c>
      <c r="AF18" s="24">
        <f t="shared" si="7"/>
        <v>7537.5025077036626</v>
      </c>
      <c r="AG18" s="24">
        <f t="shared" si="7"/>
        <v>7812.6213492348452</v>
      </c>
      <c r="AH18" s="24">
        <f t="shared" si="7"/>
        <v>8097.7820284819163</v>
      </c>
      <c r="AI18" s="24">
        <f t="shared" si="7"/>
        <v>8393.3510725215056</v>
      </c>
      <c r="AJ18" s="24">
        <f t="shared" si="7"/>
        <v>8699.7083866685407</v>
      </c>
      <c r="AK18" s="24">
        <f t="shared" si="7"/>
        <v>9017.2477427819413</v>
      </c>
    </row>
    <row r="19" spans="1:37" s="81" customFormat="1" ht="14" customHeight="1" outlineLevel="1">
      <c r="A19" s="267" t="s">
        <v>192</v>
      </c>
      <c r="B19" s="80">
        <f>B18*'A1. BASE MODEL INPUTS'!$E$6</f>
        <v>75000</v>
      </c>
      <c r="C19" s="80">
        <f>C18*'A1. BASE MODEL INPUTS'!$E$6</f>
        <v>79953.75</v>
      </c>
      <c r="D19" s="80">
        <f>D18*'A1. BASE MODEL INPUTS'!$E$6</f>
        <v>82872.061875000014</v>
      </c>
      <c r="E19" s="80">
        <f>E18*'A1. BASE MODEL INPUTS'!$E$6</f>
        <v>85896.892133437505</v>
      </c>
      <c r="F19" s="80">
        <f>F18*'A1. BASE MODEL INPUTS'!$E$6</f>
        <v>89032.128696307962</v>
      </c>
      <c r="G19" s="80">
        <f>G18*'A1. BASE MODEL INPUTS'!$E$6</f>
        <v>92281.801393723232</v>
      </c>
      <c r="H19" s="80">
        <f>H18*'A1. BASE MODEL INPUTS'!$E$6</f>
        <v>95650.08714459413</v>
      </c>
      <c r="I19" s="80">
        <f>I18*'A1. BASE MODEL INPUTS'!$E$6</f>
        <v>99141.315325371819</v>
      </c>
      <c r="J19" s="80">
        <f>J18*'A1. BASE MODEL INPUTS'!$E$6</f>
        <v>102759.97333474789</v>
      </c>
      <c r="K19" s="80">
        <f>K18*'A1. BASE MODEL INPUTS'!$E$6</f>
        <v>106510.7123614662</v>
      </c>
      <c r="L19" s="80">
        <f>L18*'A1. BASE MODEL INPUTS'!$E$6</f>
        <v>110398.35336265969</v>
      </c>
      <c r="M19" s="80">
        <f>M18*'A1. BASE MODEL INPUTS'!$E$6</f>
        <v>114427.89326039676</v>
      </c>
      <c r="N19" s="80">
        <f>N18*'A1. BASE MODEL INPUTS'!$E$6</f>
        <v>118604.51136440126</v>
      </c>
      <c r="O19" s="80">
        <f>O18*'A1. BASE MODEL INPUTS'!$E$6</f>
        <v>122933.57602920191</v>
      </c>
      <c r="P19" s="80">
        <f>P18*'A1. BASE MODEL INPUTS'!$E$6</f>
        <v>127420.65155426778</v>
      </c>
      <c r="Q19" s="80">
        <f>Q18*'A1. BASE MODEL INPUTS'!$E$6</f>
        <v>132071.50533599858</v>
      </c>
      <c r="R19" s="80">
        <f>R18*'A1. BASE MODEL INPUTS'!$E$6</f>
        <v>136892.11528076252</v>
      </c>
      <c r="S19" s="80">
        <f>S18*'A1. BASE MODEL INPUTS'!$E$6</f>
        <v>141888.67748851035</v>
      </c>
      <c r="T19" s="80">
        <f>T18*'A1. BASE MODEL INPUTS'!$E$6</f>
        <v>147067.61421684094</v>
      </c>
      <c r="U19" s="80">
        <f>U18*'A1. BASE MODEL INPUTS'!$E$6</f>
        <v>152435.58213575566</v>
      </c>
      <c r="V19" s="80">
        <f>V18*'A1. BASE MODEL INPUTS'!$E$6</f>
        <v>157999.48088371076</v>
      </c>
      <c r="W19" s="80">
        <f>W18*'A1. BASE MODEL INPUTS'!$E$6</f>
        <v>163766.46193596619</v>
      </c>
      <c r="X19" s="80">
        <f>X18*'A1. BASE MODEL INPUTS'!$E$6</f>
        <v>169743.93779662898</v>
      </c>
      <c r="Y19" s="80">
        <f>Y18*'A1. BASE MODEL INPUTS'!$E$6</f>
        <v>175939.59152620594</v>
      </c>
      <c r="Z19" s="80">
        <f>Z18*'A1. BASE MODEL INPUTS'!$E$6</f>
        <v>182361.38661691244</v>
      </c>
      <c r="AA19" s="80">
        <f>AA18*'A1. BASE MODEL INPUTS'!$E$6</f>
        <v>189017.57722842976</v>
      </c>
      <c r="AB19" s="80">
        <f>AB18*'A1. BASE MODEL INPUTS'!$E$6</f>
        <v>195916.71879726741</v>
      </c>
      <c r="AC19" s="80">
        <f>AC18*'A1. BASE MODEL INPUTS'!$E$6</f>
        <v>203067.67903336766</v>
      </c>
      <c r="AD19" s="80">
        <f>AD18*'A1. BASE MODEL INPUTS'!$E$6</f>
        <v>210479.64931808558</v>
      </c>
      <c r="AE19" s="80">
        <f>AE18*'A1. BASE MODEL INPUTS'!$E$6</f>
        <v>218162.15651819573</v>
      </c>
      <c r="AF19" s="80">
        <f>AF18*'A1. BASE MODEL INPUTS'!$E$6</f>
        <v>226125.07523110986</v>
      </c>
      <c r="AG19" s="80">
        <f>AG18*'A1. BASE MODEL INPUTS'!$E$6</f>
        <v>234378.64047704535</v>
      </c>
      <c r="AH19" s="80">
        <f>AH18*'A1. BASE MODEL INPUTS'!$E$6</f>
        <v>242933.46085445749</v>
      </c>
      <c r="AI19" s="80">
        <f>AI18*'A1. BASE MODEL INPUTS'!$E$6</f>
        <v>251800.53217564517</v>
      </c>
      <c r="AJ19" s="80">
        <f>AJ18*'A1. BASE MODEL INPUTS'!$E$6</f>
        <v>260991.25160005622</v>
      </c>
      <c r="AK19" s="80">
        <f>AK18*'A1. BASE MODEL INPUTS'!$E$6</f>
        <v>270517.43228345824</v>
      </c>
    </row>
    <row r="20" spans="1:37" s="81" customFormat="1" ht="14" customHeight="1" outlineLevel="1">
      <c r="A20" s="268" t="s">
        <v>193</v>
      </c>
      <c r="B20" s="24">
        <f>B15*'A1. BASE MODEL INPUTS'!$E$8</f>
        <v>103500</v>
      </c>
      <c r="C20" s="24">
        <f>C15*'A1. BASE MODEL INPUTS'!$E$8</f>
        <v>107277.75</v>
      </c>
      <c r="D20" s="24">
        <f>D15*'A1. BASE MODEL INPUTS'!$E$8</f>
        <v>111193.387875</v>
      </c>
      <c r="E20" s="24">
        <f>E15*'A1. BASE MODEL INPUTS'!$E$8</f>
        <v>115251.94653243751</v>
      </c>
      <c r="F20" s="24">
        <f>F15*'A1. BASE MODEL INPUTS'!$E$8</f>
        <v>119458.64258087148</v>
      </c>
      <c r="G20" s="24">
        <f>G15*'A1. BASE MODEL INPUTS'!$E$8</f>
        <v>123818.88303507329</v>
      </c>
      <c r="H20" s="24">
        <f>H15*'A1. BASE MODEL INPUTS'!$E$8</f>
        <v>128338.27226585348</v>
      </c>
      <c r="I20" s="24">
        <f>I15*'A1. BASE MODEL INPUTS'!$E$8</f>
        <v>133022.61920355714</v>
      </c>
      <c r="J20" s="24">
        <f>J15*'A1. BASE MODEL INPUTS'!$E$8</f>
        <v>137877.94480448696</v>
      </c>
      <c r="K20" s="24">
        <f>K15*'A1. BASE MODEL INPUTS'!$E$8</f>
        <v>142910.48978985072</v>
      </c>
      <c r="L20" s="24">
        <f>L15*'A1. BASE MODEL INPUTS'!$E$8</f>
        <v>148126.72266718026</v>
      </c>
      <c r="M20" s="24">
        <f>M15*'A1. BASE MODEL INPUTS'!$E$8</f>
        <v>153533.34804453235</v>
      </c>
      <c r="N20" s="24">
        <f>N15*'A1. BASE MODEL INPUTS'!$E$8</f>
        <v>159137.3152481578</v>
      </c>
      <c r="O20" s="24">
        <f>O15*'A1. BASE MODEL INPUTS'!$E$8</f>
        <v>164945.82725471555</v>
      </c>
      <c r="P20" s="24">
        <f>P15*'A1. BASE MODEL INPUTS'!$E$8</f>
        <v>170966.34994951269</v>
      </c>
      <c r="Q20" s="24">
        <f>Q15*'A1. BASE MODEL INPUTS'!$E$8</f>
        <v>177206.62172266989</v>
      </c>
      <c r="R20" s="24">
        <f>R15*'A1. BASE MODEL INPUTS'!$E$8</f>
        <v>183674.66341554734</v>
      </c>
      <c r="S20" s="24">
        <f>S15*'A1. BASE MODEL INPUTS'!$E$8</f>
        <v>190378.78863021481</v>
      </c>
      <c r="T20" s="24">
        <f>T15*'A1. BASE MODEL INPUTS'!$E$8</f>
        <v>197327.61441521766</v>
      </c>
      <c r="U20" s="24">
        <f>U15*'A1. BASE MODEL INPUTS'!$E$8</f>
        <v>204530.0723413731</v>
      </c>
      <c r="V20" s="24">
        <f>V15*'A1. BASE MODEL INPUTS'!$E$8</f>
        <v>211995.41998183323</v>
      </c>
      <c r="W20" s="24">
        <f>W15*'A1. BASE MODEL INPUTS'!$E$8</f>
        <v>219733.25281117015</v>
      </c>
      <c r="X20" s="24">
        <f>X15*'A1. BASE MODEL INPUTS'!$E$8</f>
        <v>227753.51653877788</v>
      </c>
      <c r="Y20" s="24">
        <f>Y15*'A1. BASE MODEL INPUTS'!$E$8</f>
        <v>236066.51989244326</v>
      </c>
      <c r="Z20" s="24">
        <f>Z15*'A1. BASE MODEL INPUTS'!$E$8</f>
        <v>244682.94786851745</v>
      </c>
      <c r="AA20" s="24">
        <f>AA15*'A1. BASE MODEL INPUTS'!$E$8</f>
        <v>253613.87546571833</v>
      </c>
      <c r="AB20" s="24">
        <f>AB15*'A1. BASE MODEL INPUTS'!$E$8</f>
        <v>262870.78192021704</v>
      </c>
      <c r="AC20" s="24">
        <f>AC15*'A1. BASE MODEL INPUTS'!$E$8</f>
        <v>272465.56546030496</v>
      </c>
      <c r="AD20" s="24">
        <f>AD15*'A1. BASE MODEL INPUTS'!$E$8</f>
        <v>282410.5585996061</v>
      </c>
      <c r="AE20" s="24">
        <f>AE15*'A1. BASE MODEL INPUTS'!$E$8</f>
        <v>292718.5439884917</v>
      </c>
      <c r="AF20" s="24">
        <f>AF15*'A1. BASE MODEL INPUTS'!$E$8</f>
        <v>303402.77084407164</v>
      </c>
      <c r="AG20" s="24">
        <f>AG15*'A1. BASE MODEL INPUTS'!$E$8</f>
        <v>314476.97197988024</v>
      </c>
      <c r="AH20" s="24">
        <f>AH15*'A1. BASE MODEL INPUTS'!$E$8</f>
        <v>325955.38145714585</v>
      </c>
      <c r="AI20" s="24">
        <f>AI15*'A1. BASE MODEL INPUTS'!$E$8</f>
        <v>337852.75288033165</v>
      </c>
      <c r="AJ20" s="24">
        <f>AJ15*'A1. BASE MODEL INPUTS'!$E$8</f>
        <v>350184.37836046371</v>
      </c>
      <c r="AK20" s="24">
        <f>AK15*'A1. BASE MODEL INPUTS'!$E$8</f>
        <v>362966.10817062063</v>
      </c>
    </row>
    <row r="21" spans="1:37" s="13" customFormat="1" ht="14" customHeight="1" outlineLevel="1">
      <c r="A21" s="270" t="s">
        <v>194</v>
      </c>
      <c r="B21" s="30">
        <f>B20*'A1. BASE MODEL INPUTS'!$E$9</f>
        <v>776250</v>
      </c>
      <c r="C21" s="30">
        <f>C20*'A1. BASE MODEL INPUTS'!$E$9</f>
        <v>804583.125</v>
      </c>
      <c r="D21" s="30">
        <f>D20*'A1. BASE MODEL INPUTS'!$E$9</f>
        <v>833950.4090625</v>
      </c>
      <c r="E21" s="30">
        <f>E20*'A1. BASE MODEL INPUTS'!$E$9</f>
        <v>864389.59899328125</v>
      </c>
      <c r="F21" s="30">
        <f>F20*'A1. BASE MODEL INPUTS'!$E$9</f>
        <v>895939.81935653614</v>
      </c>
      <c r="G21" s="30">
        <f>G20*'A1. BASE MODEL INPUTS'!$E$9</f>
        <v>928641.62276304967</v>
      </c>
      <c r="H21" s="30">
        <f>H20*'A1. BASE MODEL INPUTS'!$E$9</f>
        <v>962537.04199390113</v>
      </c>
      <c r="I21" s="30">
        <f>I20*'A1. BASE MODEL INPUTS'!$E$9</f>
        <v>997669.64402667852</v>
      </c>
      <c r="J21" s="30">
        <f>J20*'A1. BASE MODEL INPUTS'!$E$9</f>
        <v>1034084.5860336522</v>
      </c>
      <c r="K21" s="30">
        <f>K20*'A1. BASE MODEL INPUTS'!$E$9</f>
        <v>1071828.6734238805</v>
      </c>
      <c r="L21" s="30">
        <f>L20*'A1. BASE MODEL INPUTS'!$E$9</f>
        <v>1110950.4200038519</v>
      </c>
      <c r="M21" s="30">
        <f>M20*'A1. BASE MODEL INPUTS'!$E$9</f>
        <v>1151500.1103339926</v>
      </c>
      <c r="N21" s="30">
        <f>N20*'A1. BASE MODEL INPUTS'!$E$9</f>
        <v>1193529.8643611835</v>
      </c>
      <c r="O21" s="30">
        <f>O20*'A1. BASE MODEL INPUTS'!$E$9</f>
        <v>1237093.7044103667</v>
      </c>
      <c r="P21" s="30">
        <f>P20*'A1. BASE MODEL INPUTS'!$E$9</f>
        <v>1282247.6246213452</v>
      </c>
      <c r="Q21" s="30">
        <f>Q20*'A1. BASE MODEL INPUTS'!$E$9</f>
        <v>1329049.6629200242</v>
      </c>
      <c r="R21" s="30">
        <f>R20*'A1. BASE MODEL INPUTS'!$E$9</f>
        <v>1377559.975616605</v>
      </c>
      <c r="S21" s="30">
        <f>S20*'A1. BASE MODEL INPUTS'!$E$9</f>
        <v>1427840.914726611</v>
      </c>
      <c r="T21" s="30">
        <f>T20*'A1. BASE MODEL INPUTS'!$E$9</f>
        <v>1479957.1081141324</v>
      </c>
      <c r="U21" s="30">
        <f>U20*'A1. BASE MODEL INPUTS'!$E$9</f>
        <v>1533975.5425602982</v>
      </c>
      <c r="V21" s="30">
        <f>V20*'A1. BASE MODEL INPUTS'!$E$9</f>
        <v>1589965.6498637493</v>
      </c>
      <c r="W21" s="30">
        <f>W20*'A1. BASE MODEL INPUTS'!$E$9</f>
        <v>1647999.3960837761</v>
      </c>
      <c r="X21" s="30">
        <f>X20*'A1. BASE MODEL INPUTS'!$E$9</f>
        <v>1708151.3740408341</v>
      </c>
      <c r="Y21" s="30">
        <f>Y20*'A1. BASE MODEL INPUTS'!$E$9</f>
        <v>1770498.8991933244</v>
      </c>
      <c r="Z21" s="30">
        <f>Z20*'A1. BASE MODEL INPUTS'!$E$9</f>
        <v>1835122.1090138808</v>
      </c>
      <c r="AA21" s="30">
        <f>AA20*'A1. BASE MODEL INPUTS'!$E$9</f>
        <v>1902104.0659928876</v>
      </c>
      <c r="AB21" s="30">
        <f>AB20*'A1. BASE MODEL INPUTS'!$E$9</f>
        <v>1971530.8644016278</v>
      </c>
      <c r="AC21" s="30">
        <f>AC20*'A1. BASE MODEL INPUTS'!$E$9</f>
        <v>2043491.7409522873</v>
      </c>
      <c r="AD21" s="30">
        <f>AD20*'A1. BASE MODEL INPUTS'!$E$9</f>
        <v>2118079.1894970457</v>
      </c>
      <c r="AE21" s="30">
        <f>AE20*'A1. BASE MODEL INPUTS'!$E$9</f>
        <v>2195389.0799136879</v>
      </c>
      <c r="AF21" s="30">
        <f>AF20*'A1. BASE MODEL INPUTS'!$E$9</f>
        <v>2275520.7813305371</v>
      </c>
      <c r="AG21" s="30">
        <f>AG20*'A1. BASE MODEL INPUTS'!$E$9</f>
        <v>2358577.2898491016</v>
      </c>
      <c r="AH21" s="30">
        <f>AH20*'A1. BASE MODEL INPUTS'!$E$9</f>
        <v>2444665.3609285937</v>
      </c>
      <c r="AI21" s="30">
        <f>AI20*'A1. BASE MODEL INPUTS'!$E$9</f>
        <v>2533895.6466024872</v>
      </c>
      <c r="AJ21" s="30">
        <f>AJ20*'A1. BASE MODEL INPUTS'!$E$9</f>
        <v>2626382.8377034781</v>
      </c>
      <c r="AK21" s="30">
        <f>AK20*'A1. BASE MODEL INPUTS'!$E$9</f>
        <v>2722245.8112796545</v>
      </c>
    </row>
    <row r="22" spans="1:37" s="398" customFormat="1" ht="14" customHeight="1">
      <c r="A22" s="290" t="s">
        <v>195</v>
      </c>
      <c r="B22" s="397">
        <f t="shared" ref="B22:AK22" si="8">B21+B19</f>
        <v>851250</v>
      </c>
      <c r="C22" s="397">
        <f t="shared" si="8"/>
        <v>884536.875</v>
      </c>
      <c r="D22" s="397">
        <f t="shared" si="8"/>
        <v>916822.47093750001</v>
      </c>
      <c r="E22" s="397">
        <f t="shared" si="8"/>
        <v>950286.4911267187</v>
      </c>
      <c r="F22" s="397">
        <f t="shared" si="8"/>
        <v>984971.94805284415</v>
      </c>
      <c r="G22" s="397">
        <f t="shared" si="8"/>
        <v>1020923.4241567729</v>
      </c>
      <c r="H22" s="397">
        <f t="shared" si="8"/>
        <v>1058187.1291384953</v>
      </c>
      <c r="I22" s="397">
        <f t="shared" si="8"/>
        <v>1096810.9593520504</v>
      </c>
      <c r="J22" s="397">
        <f t="shared" si="8"/>
        <v>1136844.5593684001</v>
      </c>
      <c r="K22" s="397">
        <f t="shared" si="8"/>
        <v>1178339.3857853466</v>
      </c>
      <c r="L22" s="397">
        <f t="shared" si="8"/>
        <v>1221348.7733665116</v>
      </c>
      <c r="M22" s="397">
        <f t="shared" si="8"/>
        <v>1265928.0035943894</v>
      </c>
      <c r="N22" s="397">
        <f t="shared" si="8"/>
        <v>1312134.3757255848</v>
      </c>
      <c r="O22" s="397">
        <f t="shared" si="8"/>
        <v>1360027.2804395687</v>
      </c>
      <c r="P22" s="397">
        <f t="shared" si="8"/>
        <v>1409668.276175613</v>
      </c>
      <c r="Q22" s="397">
        <f t="shared" si="8"/>
        <v>1461121.1682560227</v>
      </c>
      <c r="R22" s="397">
        <f t="shared" si="8"/>
        <v>1514452.0908973676</v>
      </c>
      <c r="S22" s="397">
        <f t="shared" si="8"/>
        <v>1569729.5922151213</v>
      </c>
      <c r="T22" s="397">
        <f t="shared" si="8"/>
        <v>1627024.7223309735</v>
      </c>
      <c r="U22" s="397">
        <f t="shared" si="8"/>
        <v>1686411.1246960538</v>
      </c>
      <c r="V22" s="397">
        <f t="shared" si="8"/>
        <v>1747965.1307474601</v>
      </c>
      <c r="W22" s="397">
        <f t="shared" si="8"/>
        <v>1811765.8580197424</v>
      </c>
      <c r="X22" s="397">
        <f t="shared" si="8"/>
        <v>1877895.3118374632</v>
      </c>
      <c r="Y22" s="397">
        <f t="shared" si="8"/>
        <v>1946438.4907195303</v>
      </c>
      <c r="Z22" s="397">
        <f t="shared" si="8"/>
        <v>2017483.4956307933</v>
      </c>
      <c r="AA22" s="397">
        <f t="shared" si="8"/>
        <v>2091121.6432213173</v>
      </c>
      <c r="AB22" s="397">
        <f t="shared" si="8"/>
        <v>2167447.5831988952</v>
      </c>
      <c r="AC22" s="397">
        <f t="shared" si="8"/>
        <v>2246559.4199856548</v>
      </c>
      <c r="AD22" s="397">
        <f t="shared" si="8"/>
        <v>2328558.8388151312</v>
      </c>
      <c r="AE22" s="397">
        <f t="shared" si="8"/>
        <v>2413551.2364318836</v>
      </c>
      <c r="AF22" s="397">
        <f t="shared" si="8"/>
        <v>2501645.8565616468</v>
      </c>
      <c r="AG22" s="397">
        <f t="shared" si="8"/>
        <v>2592955.930326147</v>
      </c>
      <c r="AH22" s="397">
        <f t="shared" si="8"/>
        <v>2687598.8217830514</v>
      </c>
      <c r="AI22" s="397">
        <f t="shared" si="8"/>
        <v>2785696.1787781324</v>
      </c>
      <c r="AJ22" s="397">
        <f t="shared" si="8"/>
        <v>2887374.0893035345</v>
      </c>
      <c r="AK22" s="397">
        <f t="shared" si="8"/>
        <v>2992763.2435631128</v>
      </c>
    </row>
    <row r="23" spans="1:37" s="13" customFormat="1" ht="14" customHeight="1">
      <c r="A23" s="380"/>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row>
    <row r="24" spans="1:37" s="5" customFormat="1" ht="14" customHeight="1">
      <c r="A24" s="389" t="s">
        <v>29</v>
      </c>
      <c r="B24" s="329"/>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row>
    <row r="25" spans="1:37" s="158" customFormat="1" ht="14" customHeight="1" outlineLevel="1">
      <c r="A25" s="265" t="s">
        <v>30</v>
      </c>
      <c r="B25" s="157">
        <f>B15*'A1. BASE MODEL INPUTS'!$B$12</f>
        <v>15525</v>
      </c>
      <c r="C25" s="157">
        <f>C15*'A1. BASE MODEL INPUTS'!$B$12</f>
        <v>16091.662499999999</v>
      </c>
      <c r="D25" s="157">
        <f>D15*'A1. BASE MODEL INPUTS'!$B$12</f>
        <v>16679.008181249999</v>
      </c>
      <c r="E25" s="157">
        <f>E15*'A1. BASE MODEL INPUTS'!$B$12</f>
        <v>17287.791979865626</v>
      </c>
      <c r="F25" s="157">
        <f>F15*'A1. BASE MODEL INPUTS'!$B$12</f>
        <v>17918.796387130722</v>
      </c>
      <c r="G25" s="157">
        <f>G15*'A1. BASE MODEL INPUTS'!$B$12</f>
        <v>18572.832455260992</v>
      </c>
      <c r="H25" s="157">
        <f>H15*'A1. BASE MODEL INPUTS'!$B$12</f>
        <v>19250.740839878021</v>
      </c>
      <c r="I25" s="157">
        <f>I15*'A1. BASE MODEL INPUTS'!$B$12</f>
        <v>19953.392880533571</v>
      </c>
      <c r="J25" s="157">
        <f>J15*'A1. BASE MODEL INPUTS'!$B$12</f>
        <v>20681.691720673043</v>
      </c>
      <c r="K25" s="157">
        <f>K15*'A1. BASE MODEL INPUTS'!$B$12</f>
        <v>21436.573468477607</v>
      </c>
      <c r="L25" s="157">
        <f>L15*'A1. BASE MODEL INPUTS'!$B$12</f>
        <v>22219.00840007704</v>
      </c>
      <c r="M25" s="157">
        <f>M15*'A1. BASE MODEL INPUTS'!$B$12</f>
        <v>23030.002206679852</v>
      </c>
      <c r="N25" s="157">
        <f>N15*'A1. BASE MODEL INPUTS'!$B$12</f>
        <v>23870.597287223671</v>
      </c>
      <c r="O25" s="157">
        <f>O15*'A1. BASE MODEL INPUTS'!$B$12</f>
        <v>24741.874088207333</v>
      </c>
      <c r="P25" s="157">
        <f>P15*'A1. BASE MODEL INPUTS'!$B$12</f>
        <v>25644.952492426903</v>
      </c>
      <c r="Q25" s="157">
        <f>Q15*'A1. BASE MODEL INPUTS'!$B$12</f>
        <v>26580.993258400482</v>
      </c>
      <c r="R25" s="157">
        <f>R15*'A1. BASE MODEL INPUTS'!$B$12</f>
        <v>27551.199512332099</v>
      </c>
      <c r="S25" s="157">
        <f>S15*'A1. BASE MODEL INPUTS'!$B$12</f>
        <v>28556.818294532222</v>
      </c>
      <c r="T25" s="157">
        <f>T15*'A1. BASE MODEL INPUTS'!$B$12</f>
        <v>29599.142162282646</v>
      </c>
      <c r="U25" s="157">
        <f>U15*'A1. BASE MODEL INPUTS'!$B$12</f>
        <v>30679.510851205963</v>
      </c>
      <c r="V25" s="157">
        <f>V15*'A1. BASE MODEL INPUTS'!$B$12</f>
        <v>31799.312997274981</v>
      </c>
      <c r="W25" s="157">
        <f>W15*'A1. BASE MODEL INPUTS'!$B$12</f>
        <v>32959.987921675522</v>
      </c>
      <c r="X25" s="157">
        <f>X15*'A1. BASE MODEL INPUTS'!$B$12</f>
        <v>34163.02748081668</v>
      </c>
      <c r="Y25" s="157">
        <f>Y15*'A1. BASE MODEL INPUTS'!$B$12</f>
        <v>35409.977983866491</v>
      </c>
      <c r="Z25" s="157">
        <f>Z15*'A1. BASE MODEL INPUTS'!$B$12</f>
        <v>36702.44218027762</v>
      </c>
      <c r="AA25" s="157">
        <f>AA15*'A1. BASE MODEL INPUTS'!$B$12</f>
        <v>38042.081319857745</v>
      </c>
      <c r="AB25" s="157">
        <f>AB15*'A1. BASE MODEL INPUTS'!$B$12</f>
        <v>39430.617288032554</v>
      </c>
      <c r="AC25" s="157">
        <f>AC15*'A1. BASE MODEL INPUTS'!$B$12</f>
        <v>40869.83481904574</v>
      </c>
      <c r="AD25" s="157">
        <f>AD15*'A1. BASE MODEL INPUTS'!$B$12</f>
        <v>42361.583789940916</v>
      </c>
      <c r="AE25" s="157">
        <f>AE15*'A1. BASE MODEL INPUTS'!$B$12</f>
        <v>43907.781598273752</v>
      </c>
      <c r="AF25" s="157">
        <f>AF15*'A1. BASE MODEL INPUTS'!$B$12</f>
        <v>45510.415626610746</v>
      </c>
      <c r="AG25" s="157">
        <f>AG15*'A1. BASE MODEL INPUTS'!$B$12</f>
        <v>47171.545796982035</v>
      </c>
      <c r="AH25" s="157">
        <f>AH15*'A1. BASE MODEL INPUTS'!$B$12</f>
        <v>48893.307218571877</v>
      </c>
      <c r="AI25" s="157">
        <f>AI15*'A1. BASE MODEL INPUTS'!$B$12</f>
        <v>50677.912932049745</v>
      </c>
      <c r="AJ25" s="157">
        <f>AJ15*'A1. BASE MODEL INPUTS'!$B$12</f>
        <v>52527.656754069554</v>
      </c>
      <c r="AK25" s="157">
        <f>AK15*'A1. BASE MODEL INPUTS'!$B$12</f>
        <v>54444.916225593093</v>
      </c>
    </row>
    <row r="26" spans="1:37" s="5" customFormat="1" ht="14" customHeight="1" outlineLevel="1">
      <c r="A26" s="275" t="str">
        <f>'A2. BASE MODEL'!A26</f>
        <v>Revenue loss from non-usage days due to payment frictions</v>
      </c>
      <c r="B26" s="136">
        <f>-B25*'B1. MASTER AGENT INPUTS'!$E$31</f>
        <v>-49679.999999999985</v>
      </c>
      <c r="C26" s="136">
        <f>-C25*'B1. MASTER AGENT INPUTS'!$E$31</f>
        <v>-51493.319999999985</v>
      </c>
      <c r="D26" s="136">
        <f>-D25*'B1. MASTER AGENT INPUTS'!$E$31</f>
        <v>-53372.826179999989</v>
      </c>
      <c r="E26" s="136">
        <f>-E25*'B1. MASTER AGENT INPUTS'!$E$31</f>
        <v>-55320.934335569989</v>
      </c>
      <c r="F26" s="136">
        <f>-F25*'B1. MASTER AGENT INPUTS'!$E$31</f>
        <v>-57340.148438818294</v>
      </c>
      <c r="G26" s="136">
        <f>-G25*'B1. MASTER AGENT INPUTS'!$E$31</f>
        <v>-59433.063856835164</v>
      </c>
      <c r="H26" s="136">
        <f>-H25*'B1. MASTER AGENT INPUTS'!$E$31</f>
        <v>-61602.370687609655</v>
      </c>
      <c r="I26" s="136">
        <f>-I25*'B1. MASTER AGENT INPUTS'!$E$31</f>
        <v>-63850.857217707409</v>
      </c>
      <c r="J26" s="136">
        <f>-J25*'B1. MASTER AGENT INPUTS'!$E$31</f>
        <v>-66181.413506153724</v>
      </c>
      <c r="K26" s="136">
        <f>-K25*'B1. MASTER AGENT INPUTS'!$E$31</f>
        <v>-68597.035099128334</v>
      </c>
      <c r="L26" s="136">
        <f>-L25*'B1. MASTER AGENT INPUTS'!$E$31</f>
        <v>-71100.826880246517</v>
      </c>
      <c r="M26" s="136">
        <f>-M25*'B1. MASTER AGENT INPUTS'!$E$31</f>
        <v>-73696.007061375509</v>
      </c>
      <c r="N26" s="136">
        <f>-N25*'B1. MASTER AGENT INPUTS'!$E$31</f>
        <v>-76385.911319115723</v>
      </c>
      <c r="O26" s="136">
        <f>-O25*'B1. MASTER AGENT INPUTS'!$E$31</f>
        <v>-79173.99708226345</v>
      </c>
      <c r="P26" s="136">
        <f>-P25*'B1. MASTER AGENT INPUTS'!$E$31</f>
        <v>-82063.847975766068</v>
      </c>
      <c r="Q26" s="136">
        <f>-Q25*'B1. MASTER AGENT INPUTS'!$E$31</f>
        <v>-85059.178426881525</v>
      </c>
      <c r="R26" s="136">
        <f>-R25*'B1. MASTER AGENT INPUTS'!$E$31</f>
        <v>-88163.838439462692</v>
      </c>
      <c r="S26" s="136">
        <f>-S25*'B1. MASTER AGENT INPUTS'!$E$31</f>
        <v>-91381.818542503097</v>
      </c>
      <c r="T26" s="136">
        <f>-T25*'B1. MASTER AGENT INPUTS'!$E$31</f>
        <v>-94717.25491930444</v>
      </c>
      <c r="U26" s="136">
        <f>-U25*'B1. MASTER AGENT INPUTS'!$E$31</f>
        <v>-98174.434723859056</v>
      </c>
      <c r="V26" s="136">
        <f>-V25*'B1. MASTER AGENT INPUTS'!$E$31</f>
        <v>-101757.80159127992</v>
      </c>
      <c r="W26" s="136">
        <f>-W25*'B1. MASTER AGENT INPUTS'!$E$31</f>
        <v>-105471.96134936165</v>
      </c>
      <c r="X26" s="136">
        <f>-X25*'B1. MASTER AGENT INPUTS'!$E$31</f>
        <v>-109321.68793861335</v>
      </c>
      <c r="Y26" s="136">
        <f>-Y25*'B1. MASTER AGENT INPUTS'!$E$31</f>
        <v>-113311.92954837275</v>
      </c>
      <c r="Z26" s="136">
        <f>-Z25*'B1. MASTER AGENT INPUTS'!$E$31</f>
        <v>-117447.81497688836</v>
      </c>
      <c r="AA26" s="136">
        <f>-AA25*'B1. MASTER AGENT INPUTS'!$E$31</f>
        <v>-121734.66022354476</v>
      </c>
      <c r="AB26" s="136">
        <f>-AB25*'B1. MASTER AGENT INPUTS'!$E$31</f>
        <v>-126177.97532170414</v>
      </c>
      <c r="AC26" s="136">
        <f>-AC25*'B1. MASTER AGENT INPUTS'!$E$31</f>
        <v>-130783.47142094634</v>
      </c>
      <c r="AD26" s="136">
        <f>-AD25*'B1. MASTER AGENT INPUTS'!$E$31</f>
        <v>-135557.0681278109</v>
      </c>
      <c r="AE26" s="136">
        <f>-AE25*'B1. MASTER AGENT INPUTS'!$E$31</f>
        <v>-140504.90111447597</v>
      </c>
      <c r="AF26" s="136">
        <f>-AF25*'B1. MASTER AGENT INPUTS'!$E$31</f>
        <v>-145633.33000515436</v>
      </c>
      <c r="AG26" s="136">
        <f>-AG25*'B1. MASTER AGENT INPUTS'!$E$31</f>
        <v>-150948.94655034249</v>
      </c>
      <c r="AH26" s="136">
        <f>-AH25*'B1. MASTER AGENT INPUTS'!$E$31</f>
        <v>-156458.58309942996</v>
      </c>
      <c r="AI26" s="136">
        <f>-AI25*'B1. MASTER AGENT INPUTS'!$E$31</f>
        <v>-162169.32138255914</v>
      </c>
      <c r="AJ26" s="136">
        <f>-AJ25*'B1. MASTER AGENT INPUTS'!$E$31</f>
        <v>-168088.50161302253</v>
      </c>
      <c r="AK26" s="136">
        <f>-AK25*'B1. MASTER AGENT INPUTS'!$E$31</f>
        <v>-174223.73192189785</v>
      </c>
    </row>
    <row r="27" spans="1:37" s="5" customFormat="1" ht="14" customHeight="1" outlineLevel="1">
      <c r="A27" s="270" t="s">
        <v>44</v>
      </c>
      <c r="B27" s="149">
        <f>B15*'A1. BASE MODEL INPUTS'!$E$13*(1-'B1. MASTER AGENT INPUTS'!$B$30)</f>
        <v>258.75</v>
      </c>
      <c r="C27" s="149">
        <f>C15*'A1. BASE MODEL INPUTS'!$E$13*(1-'B1. MASTER AGENT INPUTS'!$B$30)</f>
        <v>268.19437499999998</v>
      </c>
      <c r="D27" s="149">
        <f>D15*'A1. BASE MODEL INPUTS'!$E$13*(1-'B1. MASTER AGENT INPUTS'!$B$30)</f>
        <v>277.98346968750002</v>
      </c>
      <c r="E27" s="149">
        <f>E15*'A1. BASE MODEL INPUTS'!$E$13*(1-'B1. MASTER AGENT INPUTS'!$B$30)</f>
        <v>288.12986633109375</v>
      </c>
      <c r="F27" s="149">
        <f>F15*'A1. BASE MODEL INPUTS'!$E$13*(1-'B1. MASTER AGENT INPUTS'!$B$30)</f>
        <v>298.64660645217873</v>
      </c>
      <c r="G27" s="149">
        <f>G15*'A1. BASE MODEL INPUTS'!$E$13*(1-'B1. MASTER AGENT INPUTS'!$B$30)</f>
        <v>309.5472075876832</v>
      </c>
      <c r="H27" s="149">
        <f>H15*'A1. BASE MODEL INPUTS'!$E$13*(1-'B1. MASTER AGENT INPUTS'!$B$30)</f>
        <v>320.84568066463368</v>
      </c>
      <c r="I27" s="149">
        <f>I15*'A1. BASE MODEL INPUTS'!$E$13*(1-'B1. MASTER AGENT INPUTS'!$B$30)</f>
        <v>332.55654800889289</v>
      </c>
      <c r="J27" s="149">
        <f>J15*'A1. BASE MODEL INPUTS'!$E$13*(1-'B1. MASTER AGENT INPUTS'!$B$30)</f>
        <v>344.69486201121742</v>
      </c>
      <c r="K27" s="149">
        <f>K15*'A1. BASE MODEL INPUTS'!$E$13*(1-'B1. MASTER AGENT INPUTS'!$B$30)</f>
        <v>357.27622447462682</v>
      </c>
      <c r="L27" s="149">
        <f>L15*'A1. BASE MODEL INPUTS'!$E$13*(1-'B1. MASTER AGENT INPUTS'!$B$30)</f>
        <v>370.31680666795069</v>
      </c>
      <c r="M27" s="149">
        <f>M15*'A1. BASE MODEL INPUTS'!$E$13*(1-'B1. MASTER AGENT INPUTS'!$B$30)</f>
        <v>383.83337011133091</v>
      </c>
      <c r="N27" s="149">
        <f>N15*'A1. BASE MODEL INPUTS'!$E$13*(1-'B1. MASTER AGENT INPUTS'!$B$30)</f>
        <v>397.8432881203945</v>
      </c>
      <c r="O27" s="149">
        <f>O15*'A1. BASE MODEL INPUTS'!$E$13*(1-'B1. MASTER AGENT INPUTS'!$B$30)</f>
        <v>412.36456813678888</v>
      </c>
      <c r="P27" s="149">
        <f>P15*'A1. BASE MODEL INPUTS'!$E$13*(1-'B1. MASTER AGENT INPUTS'!$B$30)</f>
        <v>427.41587487378172</v>
      </c>
      <c r="Q27" s="149">
        <f>Q15*'A1. BASE MODEL INPUTS'!$E$13*(1-'B1. MASTER AGENT INPUTS'!$B$30)</f>
        <v>443.01655430667472</v>
      </c>
      <c r="R27" s="149">
        <f>R15*'A1. BASE MODEL INPUTS'!$E$13*(1-'B1. MASTER AGENT INPUTS'!$B$30)</f>
        <v>459.18665853886836</v>
      </c>
      <c r="S27" s="149">
        <f>S15*'A1. BASE MODEL INPUTS'!$E$13*(1-'B1. MASTER AGENT INPUTS'!$B$30)</f>
        <v>475.94697157553702</v>
      </c>
      <c r="T27" s="149">
        <f>T15*'A1. BASE MODEL INPUTS'!$E$13*(1-'B1. MASTER AGENT INPUTS'!$B$30)</f>
        <v>493.31903603804415</v>
      </c>
      <c r="U27" s="149">
        <f>U15*'A1. BASE MODEL INPUTS'!$E$13*(1-'B1. MASTER AGENT INPUTS'!$B$30)</f>
        <v>511.32518085343276</v>
      </c>
      <c r="V27" s="149">
        <f>V15*'A1. BASE MODEL INPUTS'!$E$13*(1-'B1. MASTER AGENT INPUTS'!$B$30)</f>
        <v>529.98854995458305</v>
      </c>
      <c r="W27" s="149">
        <f>W15*'A1. BASE MODEL INPUTS'!$E$13*(1-'B1. MASTER AGENT INPUTS'!$B$30)</f>
        <v>549.33313202792544</v>
      </c>
      <c r="X27" s="149">
        <f>X15*'A1. BASE MODEL INPUTS'!$E$13*(1-'B1. MASTER AGENT INPUTS'!$B$30)</f>
        <v>569.38379134694469</v>
      </c>
      <c r="Y27" s="149">
        <f>Y15*'A1. BASE MODEL INPUTS'!$E$13*(1-'B1. MASTER AGENT INPUTS'!$B$30)</f>
        <v>590.16629973110821</v>
      </c>
      <c r="Z27" s="149">
        <f>Z15*'A1. BASE MODEL INPUTS'!$E$13*(1-'B1. MASTER AGENT INPUTS'!$B$30)</f>
        <v>611.70736967129369</v>
      </c>
      <c r="AA27" s="149">
        <f>AA15*'A1. BASE MODEL INPUTS'!$E$13*(1-'B1. MASTER AGENT INPUTS'!$B$30)</f>
        <v>634.0346886642958</v>
      </c>
      <c r="AB27" s="149">
        <f>AB15*'A1. BASE MODEL INPUTS'!$E$13*(1-'B1. MASTER AGENT INPUTS'!$B$30)</f>
        <v>657.1769548005426</v>
      </c>
      <c r="AC27" s="149">
        <f>AC15*'A1. BASE MODEL INPUTS'!$E$13*(1-'B1. MASTER AGENT INPUTS'!$B$30)</f>
        <v>681.16391365076242</v>
      </c>
      <c r="AD27" s="149">
        <f>AD15*'A1. BASE MODEL INPUTS'!$E$13*(1-'B1. MASTER AGENT INPUTS'!$B$30)</f>
        <v>706.02639649901528</v>
      </c>
      <c r="AE27" s="149">
        <f>AE15*'A1. BASE MODEL INPUTS'!$E$13*(1-'B1. MASTER AGENT INPUTS'!$B$30)</f>
        <v>731.79635997122921</v>
      </c>
      <c r="AF27" s="149">
        <f>AF15*'A1. BASE MODEL INPUTS'!$E$13*(1-'B1. MASTER AGENT INPUTS'!$B$30)</f>
        <v>758.50692711017916</v>
      </c>
      <c r="AG27" s="149">
        <f>AG15*'A1. BASE MODEL INPUTS'!$E$13*(1-'B1. MASTER AGENT INPUTS'!$B$30)</f>
        <v>786.19242994970057</v>
      </c>
      <c r="AH27" s="149">
        <f>AH15*'A1. BASE MODEL INPUTS'!$E$13*(1-'B1. MASTER AGENT INPUTS'!$B$30)</f>
        <v>814.88845364286465</v>
      </c>
      <c r="AI27" s="149">
        <f>AI15*'A1. BASE MODEL INPUTS'!$E$13*(1-'B1. MASTER AGENT INPUTS'!$B$30)</f>
        <v>844.63188220082918</v>
      </c>
      <c r="AJ27" s="149">
        <f>AJ15*'A1. BASE MODEL INPUTS'!$E$13*(1-'B1. MASTER AGENT INPUTS'!$B$30)</f>
        <v>875.46094590115933</v>
      </c>
      <c r="AK27" s="149">
        <f>AK15*'A1. BASE MODEL INPUTS'!$E$13*(1-'B1. MASTER AGENT INPUTS'!$B$30)</f>
        <v>907.41527042655161</v>
      </c>
    </row>
    <row r="28" spans="1:37" s="5" customFormat="1" ht="14" customHeight="1" outlineLevel="1">
      <c r="A28" s="270" t="s">
        <v>33</v>
      </c>
      <c r="B28" s="136">
        <f>-B27*'A1. BASE MODEL INPUTS'!$E$14</f>
        <v>-19406.25</v>
      </c>
      <c r="C28" s="136">
        <f>-C27*'A1. BASE MODEL INPUTS'!$E$14</f>
        <v>-20114.578125</v>
      </c>
      <c r="D28" s="136">
        <f>-D27*'A1. BASE MODEL INPUTS'!$E$14</f>
        <v>-20848.760226562503</v>
      </c>
      <c r="E28" s="136">
        <f>-E27*'A1. BASE MODEL INPUTS'!$E$14</f>
        <v>-21609.739974832031</v>
      </c>
      <c r="F28" s="136">
        <f>-F27*'A1. BASE MODEL INPUTS'!$E$14</f>
        <v>-22398.495483913404</v>
      </c>
      <c r="G28" s="136">
        <f>-G27*'A1. BASE MODEL INPUTS'!$E$14</f>
        <v>-23216.040569076242</v>
      </c>
      <c r="H28" s="136">
        <f>-H27*'A1. BASE MODEL INPUTS'!$E$14</f>
        <v>-24063.426049847527</v>
      </c>
      <c r="I28" s="136">
        <f>-I27*'A1. BASE MODEL INPUTS'!$E$14</f>
        <v>-24941.741100666968</v>
      </c>
      <c r="J28" s="136">
        <f>-J27*'A1. BASE MODEL INPUTS'!$E$14</f>
        <v>-25852.114650841308</v>
      </c>
      <c r="K28" s="136">
        <f>-K27*'A1. BASE MODEL INPUTS'!$E$14</f>
        <v>-26795.71683559701</v>
      </c>
      <c r="L28" s="136">
        <f>-L27*'A1. BASE MODEL INPUTS'!$E$14</f>
        <v>-27773.760500096301</v>
      </c>
      <c r="M28" s="136">
        <f>-M27*'A1. BASE MODEL INPUTS'!$E$14</f>
        <v>-28787.502758349819</v>
      </c>
      <c r="N28" s="136">
        <f>-N27*'A1. BASE MODEL INPUTS'!$E$14</f>
        <v>-29838.246609029589</v>
      </c>
      <c r="O28" s="136">
        <f>-O27*'A1. BASE MODEL INPUTS'!$E$14</f>
        <v>-30927.342610259166</v>
      </c>
      <c r="P28" s="136">
        <f>-P27*'A1. BASE MODEL INPUTS'!$E$14</f>
        <v>-32056.190615533629</v>
      </c>
      <c r="Q28" s="136">
        <f>-Q27*'A1. BASE MODEL INPUTS'!$E$14</f>
        <v>-33226.241573000603</v>
      </c>
      <c r="R28" s="136">
        <f>-R27*'A1. BASE MODEL INPUTS'!$E$14</f>
        <v>-34438.999390415127</v>
      </c>
      <c r="S28" s="136">
        <f>-S27*'A1. BASE MODEL INPUTS'!$E$14</f>
        <v>-35696.022868165273</v>
      </c>
      <c r="T28" s="136">
        <f>-T27*'A1. BASE MODEL INPUTS'!$E$14</f>
        <v>-36998.927702853311</v>
      </c>
      <c r="U28" s="136">
        <f>-U27*'A1. BASE MODEL INPUTS'!$E$14</f>
        <v>-38349.388564007459</v>
      </c>
      <c r="V28" s="136">
        <f>-V27*'A1. BASE MODEL INPUTS'!$E$14</f>
        <v>-39749.141246593732</v>
      </c>
      <c r="W28" s="136">
        <f>-W27*'A1. BASE MODEL INPUTS'!$E$14</f>
        <v>-41199.984902094409</v>
      </c>
      <c r="X28" s="136">
        <f>-X27*'A1. BASE MODEL INPUTS'!$E$14</f>
        <v>-42703.784351020855</v>
      </c>
      <c r="Y28" s="136">
        <f>-Y27*'A1. BASE MODEL INPUTS'!$E$14</f>
        <v>-44262.472479833115</v>
      </c>
      <c r="Z28" s="136">
        <f>-Z27*'A1. BASE MODEL INPUTS'!$E$14</f>
        <v>-45878.052725347028</v>
      </c>
      <c r="AA28" s="136">
        <f>-AA27*'A1. BASE MODEL INPUTS'!$E$14</f>
        <v>-47552.601649822187</v>
      </c>
      <c r="AB28" s="136">
        <f>-AB27*'A1. BASE MODEL INPUTS'!$E$14</f>
        <v>-49288.271610040698</v>
      </c>
      <c r="AC28" s="136">
        <f>-AC27*'A1. BASE MODEL INPUTS'!$E$14</f>
        <v>-51087.29352380718</v>
      </c>
      <c r="AD28" s="136">
        <f>-AD27*'A1. BASE MODEL INPUTS'!$E$14</f>
        <v>-52951.979737426147</v>
      </c>
      <c r="AE28" s="136">
        <f>-AE27*'A1. BASE MODEL INPUTS'!$E$14</f>
        <v>-54884.72699784219</v>
      </c>
      <c r="AF28" s="136">
        <f>-AF27*'A1. BASE MODEL INPUTS'!$E$14</f>
        <v>-56888.019533263439</v>
      </c>
      <c r="AG28" s="136">
        <f>-AG27*'A1. BASE MODEL INPUTS'!$E$14</f>
        <v>-58964.432246227545</v>
      </c>
      <c r="AH28" s="136">
        <f>-AH27*'A1. BASE MODEL INPUTS'!$E$14</f>
        <v>-61116.63402321485</v>
      </c>
      <c r="AI28" s="136">
        <f>-AI27*'A1. BASE MODEL INPUTS'!$E$14</f>
        <v>-63347.391165062189</v>
      </c>
      <c r="AJ28" s="136">
        <f>-AJ27*'A1. BASE MODEL INPUTS'!$E$14</f>
        <v>-65659.570942586957</v>
      </c>
      <c r="AK28" s="136">
        <f>-AK27*'A1. BASE MODEL INPUTS'!$E$14</f>
        <v>-68056.145281991368</v>
      </c>
    </row>
    <row r="29" spans="1:37" s="400" customFormat="1" ht="14" customHeight="1">
      <c r="A29" s="290" t="s">
        <v>141</v>
      </c>
      <c r="B29" s="397">
        <f t="shared" ref="B29:AK29" si="9">B26+B28</f>
        <v>-69086.249999999985</v>
      </c>
      <c r="C29" s="397">
        <f t="shared" si="9"/>
        <v>-71607.898124999978</v>
      </c>
      <c r="D29" s="397">
        <f t="shared" si="9"/>
        <v>-74221.586406562492</v>
      </c>
      <c r="E29" s="397">
        <f t="shared" si="9"/>
        <v>-76930.674310402013</v>
      </c>
      <c r="F29" s="397">
        <f t="shared" si="9"/>
        <v>-79738.643922731702</v>
      </c>
      <c r="G29" s="397">
        <f t="shared" si="9"/>
        <v>-82649.104425911413</v>
      </c>
      <c r="H29" s="397">
        <f t="shared" si="9"/>
        <v>-85665.796737457189</v>
      </c>
      <c r="I29" s="397">
        <f t="shared" si="9"/>
        <v>-88792.598318374381</v>
      </c>
      <c r="J29" s="397">
        <f t="shared" si="9"/>
        <v>-92033.528156995031</v>
      </c>
      <c r="K29" s="397">
        <f t="shared" si="9"/>
        <v>-95392.75193472534</v>
      </c>
      <c r="L29" s="397">
        <f t="shared" si="9"/>
        <v>-98874.587380342826</v>
      </c>
      <c r="M29" s="397">
        <f t="shared" si="9"/>
        <v>-102483.50981972532</v>
      </c>
      <c r="N29" s="397">
        <f t="shared" si="9"/>
        <v>-106224.15792814532</v>
      </c>
      <c r="O29" s="397">
        <f t="shared" si="9"/>
        <v>-110101.33969252261</v>
      </c>
      <c r="P29" s="397">
        <f t="shared" si="9"/>
        <v>-114120.0385912997</v>
      </c>
      <c r="Q29" s="397">
        <f t="shared" si="9"/>
        <v>-118285.41999988213</v>
      </c>
      <c r="R29" s="397">
        <f t="shared" si="9"/>
        <v>-122602.83782987783</v>
      </c>
      <c r="S29" s="397">
        <f t="shared" si="9"/>
        <v>-127077.84141066836</v>
      </c>
      <c r="T29" s="397">
        <f t="shared" si="9"/>
        <v>-131716.18262215774</v>
      </c>
      <c r="U29" s="397">
        <f t="shared" si="9"/>
        <v>-136523.82328786651</v>
      </c>
      <c r="V29" s="397">
        <f t="shared" si="9"/>
        <v>-141506.94283787365</v>
      </c>
      <c r="W29" s="397">
        <f t="shared" si="9"/>
        <v>-146671.94625145604</v>
      </c>
      <c r="X29" s="397">
        <f t="shared" si="9"/>
        <v>-152025.4722896342</v>
      </c>
      <c r="Y29" s="397">
        <f t="shared" si="9"/>
        <v>-157574.40202820586</v>
      </c>
      <c r="Z29" s="397">
        <f t="shared" si="9"/>
        <v>-163325.86770223538</v>
      </c>
      <c r="AA29" s="397">
        <f t="shared" si="9"/>
        <v>-169287.26187336695</v>
      </c>
      <c r="AB29" s="397">
        <f t="shared" si="9"/>
        <v>-175466.24693174486</v>
      </c>
      <c r="AC29" s="397">
        <f t="shared" si="9"/>
        <v>-181870.76494475352</v>
      </c>
      <c r="AD29" s="397">
        <f t="shared" si="9"/>
        <v>-188509.04786523705</v>
      </c>
      <c r="AE29" s="397">
        <f t="shared" si="9"/>
        <v>-195389.62811231817</v>
      </c>
      <c r="AF29" s="397">
        <f t="shared" si="9"/>
        <v>-202521.34953841779</v>
      </c>
      <c r="AG29" s="397">
        <f t="shared" si="9"/>
        <v>-209913.37879657003</v>
      </c>
      <c r="AH29" s="397">
        <f t="shared" si="9"/>
        <v>-217575.21712264483</v>
      </c>
      <c r="AI29" s="397">
        <f t="shared" si="9"/>
        <v>-225516.71254762134</v>
      </c>
      <c r="AJ29" s="397">
        <f t="shared" si="9"/>
        <v>-233748.07255560948</v>
      </c>
      <c r="AK29" s="397">
        <f t="shared" si="9"/>
        <v>-242279.87720388922</v>
      </c>
    </row>
    <row r="30" spans="1:37" s="400" customFormat="1" ht="14" customHeight="1">
      <c r="A30" s="290"/>
      <c r="B30" s="397"/>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K30" s="397"/>
    </row>
    <row r="31" spans="1:37" s="400" customFormat="1" ht="14" customHeight="1">
      <c r="A31" s="294" t="s">
        <v>174</v>
      </c>
      <c r="B31" s="401"/>
      <c r="C31" s="401"/>
      <c r="D31" s="401"/>
      <c r="E31" s="401"/>
      <c r="F31" s="401"/>
      <c r="G31" s="401"/>
      <c r="H31" s="401"/>
      <c r="I31" s="401"/>
      <c r="J31" s="401"/>
      <c r="K31" s="401"/>
      <c r="L31" s="401"/>
      <c r="M31" s="401"/>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01"/>
    </row>
    <row r="32" spans="1:37" s="400" customFormat="1" ht="14" customHeight="1">
      <c r="A32" s="270" t="s">
        <v>130</v>
      </c>
      <c r="B32" s="149">
        <f>B15*'A1. BASE MODEL INPUTS'!$E$12</f>
        <v>517.5</v>
      </c>
      <c r="C32" s="149">
        <f>C15*'A1. BASE MODEL INPUTS'!$E$12</f>
        <v>536.38874999999996</v>
      </c>
      <c r="D32" s="149">
        <f>D15*'A1. BASE MODEL INPUTS'!$E$12</f>
        <v>555.96693937500004</v>
      </c>
      <c r="E32" s="149">
        <f>E15*'A1. BASE MODEL INPUTS'!$E$12</f>
        <v>576.2597326621875</v>
      </c>
      <c r="F32" s="149">
        <f>F15*'A1. BASE MODEL INPUTS'!$E$12</f>
        <v>597.29321290435746</v>
      </c>
      <c r="G32" s="149">
        <f>G15*'A1. BASE MODEL INPUTS'!$E$12</f>
        <v>619.09441517536641</v>
      </c>
      <c r="H32" s="149">
        <f>H15*'A1. BASE MODEL INPUTS'!$E$12</f>
        <v>641.69136132926735</v>
      </c>
      <c r="I32" s="149">
        <f>I15*'A1. BASE MODEL INPUTS'!$E$12</f>
        <v>665.11309601778578</v>
      </c>
      <c r="J32" s="149">
        <f>J15*'A1. BASE MODEL INPUTS'!$E$12</f>
        <v>689.38972402243485</v>
      </c>
      <c r="K32" s="149">
        <f>K15*'A1. BASE MODEL INPUTS'!$E$12</f>
        <v>714.55244894925363</v>
      </c>
      <c r="L32" s="149">
        <f>L15*'A1. BASE MODEL INPUTS'!$E$12</f>
        <v>740.63361333590137</v>
      </c>
      <c r="M32" s="149">
        <f>M15*'A1. BASE MODEL INPUTS'!$E$12</f>
        <v>767.66674022266182</v>
      </c>
      <c r="N32" s="149">
        <f>N15*'A1. BASE MODEL INPUTS'!$E$12</f>
        <v>795.68657624078901</v>
      </c>
      <c r="O32" s="149">
        <f>O15*'A1. BASE MODEL INPUTS'!$E$12</f>
        <v>824.72913627357775</v>
      </c>
      <c r="P32" s="149">
        <f>P15*'A1. BASE MODEL INPUTS'!$E$12</f>
        <v>854.83174974756344</v>
      </c>
      <c r="Q32" s="149">
        <f>Q15*'A1. BASE MODEL INPUTS'!$E$12</f>
        <v>886.03310861334944</v>
      </c>
      <c r="R32" s="149">
        <f>R15*'A1. BASE MODEL INPUTS'!$E$12</f>
        <v>918.37331707773671</v>
      </c>
      <c r="S32" s="149">
        <f>S15*'A1. BASE MODEL INPUTS'!$E$12</f>
        <v>951.89394315107404</v>
      </c>
      <c r="T32" s="149">
        <f>T15*'A1. BASE MODEL INPUTS'!$E$12</f>
        <v>986.63807207608829</v>
      </c>
      <c r="U32" s="149">
        <f>U15*'A1. BASE MODEL INPUTS'!$E$12</f>
        <v>1022.6503617068655</v>
      </c>
      <c r="V32" s="149">
        <f>V15*'A1. BASE MODEL INPUTS'!$E$12</f>
        <v>1059.9770999091661</v>
      </c>
      <c r="W32" s="149">
        <f>W15*'A1. BASE MODEL INPUTS'!$E$12</f>
        <v>1098.6662640558509</v>
      </c>
      <c r="X32" s="149">
        <f>X15*'A1. BASE MODEL INPUTS'!$E$12</f>
        <v>1138.7675826938894</v>
      </c>
      <c r="Y32" s="149">
        <f>Y15*'A1. BASE MODEL INPUTS'!$E$12</f>
        <v>1180.3325994622164</v>
      </c>
      <c r="Z32" s="149">
        <f>Z15*'A1. BASE MODEL INPUTS'!$E$12</f>
        <v>1223.4147393425874</v>
      </c>
      <c r="AA32" s="149">
        <f>AA15*'A1. BASE MODEL INPUTS'!$E$12</f>
        <v>1268.0693773285916</v>
      </c>
      <c r="AB32" s="149">
        <f>AB15*'A1. BASE MODEL INPUTS'!$E$12</f>
        <v>1314.3539096010852</v>
      </c>
      <c r="AC32" s="149">
        <f>AC15*'A1. BASE MODEL INPUTS'!$E$12</f>
        <v>1362.3278273015248</v>
      </c>
      <c r="AD32" s="149">
        <f>AD15*'A1. BASE MODEL INPUTS'!$E$12</f>
        <v>1412.0527929980306</v>
      </c>
      <c r="AE32" s="149">
        <f>AE15*'A1. BASE MODEL INPUTS'!$E$12</f>
        <v>1463.5927199424584</v>
      </c>
      <c r="AF32" s="149">
        <f>AF15*'A1. BASE MODEL INPUTS'!$E$12</f>
        <v>1517.0138542203583</v>
      </c>
      <c r="AG32" s="149">
        <f>AG15*'A1. BASE MODEL INPUTS'!$E$12</f>
        <v>1572.3848598994011</v>
      </c>
      <c r="AH32" s="149">
        <f>AH15*'A1. BASE MODEL INPUTS'!$E$12</f>
        <v>1629.7769072857293</v>
      </c>
      <c r="AI32" s="149">
        <f>AI15*'A1. BASE MODEL INPUTS'!$E$12</f>
        <v>1689.2637644016584</v>
      </c>
      <c r="AJ32" s="149">
        <f>AJ15*'A1. BASE MODEL INPUTS'!$E$12</f>
        <v>1750.9218918023187</v>
      </c>
      <c r="AK32" s="149">
        <f>AK15*'A1. BASE MODEL INPUTS'!$E$12</f>
        <v>1814.8305408531032</v>
      </c>
    </row>
    <row r="33" spans="1:37" s="400" customFormat="1" ht="14" customHeight="1">
      <c r="A33" s="290" t="s">
        <v>196</v>
      </c>
      <c r="B33" s="291">
        <f>-B32*'A1. BASE MODEL INPUTS'!$E$14</f>
        <v>-38812.5</v>
      </c>
      <c r="C33" s="291">
        <f>-C32*'A1. BASE MODEL INPUTS'!$E$14</f>
        <v>-40229.15625</v>
      </c>
      <c r="D33" s="291">
        <f>-D32*'A1. BASE MODEL INPUTS'!$E$14</f>
        <v>-41697.520453125006</v>
      </c>
      <c r="E33" s="291">
        <f>-E32*'A1. BASE MODEL INPUTS'!$E$14</f>
        <v>-43219.479949664063</v>
      </c>
      <c r="F33" s="291">
        <f>-F32*'A1. BASE MODEL INPUTS'!$E$14</f>
        <v>-44796.990967826809</v>
      </c>
      <c r="G33" s="291">
        <f>-G32*'A1. BASE MODEL INPUTS'!$E$14</f>
        <v>-46432.081138152484</v>
      </c>
      <c r="H33" s="291">
        <f>-H32*'A1. BASE MODEL INPUTS'!$E$14</f>
        <v>-48126.852099695054</v>
      </c>
      <c r="I33" s="291">
        <f>-I32*'A1. BASE MODEL INPUTS'!$E$14</f>
        <v>-49883.482201333936</v>
      </c>
      <c r="J33" s="291">
        <f>-J32*'A1. BASE MODEL INPUTS'!$E$14</f>
        <v>-51704.229301682615</v>
      </c>
      <c r="K33" s="291">
        <f>-K32*'A1. BASE MODEL INPUTS'!$E$14</f>
        <v>-53591.43367119402</v>
      </c>
      <c r="L33" s="291">
        <f>-L32*'A1. BASE MODEL INPUTS'!$E$14</f>
        <v>-55547.521000192603</v>
      </c>
      <c r="M33" s="291">
        <f>-M32*'A1. BASE MODEL INPUTS'!$E$14</f>
        <v>-57575.005516699639</v>
      </c>
      <c r="N33" s="291">
        <f>-N32*'A1. BASE MODEL INPUTS'!$E$14</f>
        <v>-59676.493218059179</v>
      </c>
      <c r="O33" s="291">
        <f>-O32*'A1. BASE MODEL INPUTS'!$E$14</f>
        <v>-61854.685220518331</v>
      </c>
      <c r="P33" s="291">
        <f>-P32*'A1. BASE MODEL INPUTS'!$E$14</f>
        <v>-64112.381231067258</v>
      </c>
      <c r="Q33" s="291">
        <f>-Q32*'A1. BASE MODEL INPUTS'!$E$14</f>
        <v>-66452.483146001206</v>
      </c>
      <c r="R33" s="291">
        <f>-R32*'A1. BASE MODEL INPUTS'!$E$14</f>
        <v>-68877.998780830254</v>
      </c>
      <c r="S33" s="291">
        <f>-S32*'A1. BASE MODEL INPUTS'!$E$14</f>
        <v>-71392.045736330547</v>
      </c>
      <c r="T33" s="291">
        <f>-T32*'A1. BASE MODEL INPUTS'!$E$14</f>
        <v>-73997.855405706621</v>
      </c>
      <c r="U33" s="291">
        <f>-U32*'A1. BASE MODEL INPUTS'!$E$14</f>
        <v>-76698.777128014917</v>
      </c>
      <c r="V33" s="291">
        <f>-V32*'A1. BASE MODEL INPUTS'!$E$14</f>
        <v>-79498.282493187464</v>
      </c>
      <c r="W33" s="291">
        <f>-W32*'A1. BASE MODEL INPUTS'!$E$14</f>
        <v>-82399.969804188819</v>
      </c>
      <c r="X33" s="291">
        <f>-X32*'A1. BASE MODEL INPUTS'!$E$14</f>
        <v>-85407.56870204171</v>
      </c>
      <c r="Y33" s="291">
        <f>-Y32*'A1. BASE MODEL INPUTS'!$E$14</f>
        <v>-88524.944959666231</v>
      </c>
      <c r="Z33" s="291">
        <f>-Z32*'A1. BASE MODEL INPUTS'!$E$14</f>
        <v>-91756.105450694056</v>
      </c>
      <c r="AA33" s="291">
        <f>-AA32*'A1. BASE MODEL INPUTS'!$E$14</f>
        <v>-95105.203299644374</v>
      </c>
      <c r="AB33" s="291">
        <f>-AB32*'A1. BASE MODEL INPUTS'!$E$14</f>
        <v>-98576.543220081396</v>
      </c>
      <c r="AC33" s="291">
        <f>-AC32*'A1. BASE MODEL INPUTS'!$E$14</f>
        <v>-102174.58704761436</v>
      </c>
      <c r="AD33" s="291">
        <f>-AD32*'A1. BASE MODEL INPUTS'!$E$14</f>
        <v>-105903.95947485229</v>
      </c>
      <c r="AE33" s="291">
        <f>-AE32*'A1. BASE MODEL INPUTS'!$E$14</f>
        <v>-109769.45399568438</v>
      </c>
      <c r="AF33" s="291">
        <f>-AF32*'A1. BASE MODEL INPUTS'!$E$14</f>
        <v>-113776.03906652688</v>
      </c>
      <c r="AG33" s="291">
        <f>-AG32*'A1. BASE MODEL INPUTS'!$E$14</f>
        <v>-117928.86449245509</v>
      </c>
      <c r="AH33" s="291">
        <f>-AH32*'A1. BASE MODEL INPUTS'!$E$14</f>
        <v>-122233.2680464297</v>
      </c>
      <c r="AI33" s="291">
        <f>-AI32*'A1. BASE MODEL INPUTS'!$E$14</f>
        <v>-126694.78233012438</v>
      </c>
      <c r="AJ33" s="291">
        <f>-AJ32*'A1. BASE MODEL INPUTS'!$E$14</f>
        <v>-131319.14188517391</v>
      </c>
      <c r="AK33" s="291">
        <f>-AK32*'A1. BASE MODEL INPUTS'!$E$14</f>
        <v>-136112.29056398274</v>
      </c>
    </row>
    <row r="34" spans="1:37" s="400" customFormat="1" ht="14" customHeight="1">
      <c r="A34" s="270"/>
      <c r="B34" s="397"/>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K34" s="397"/>
    </row>
    <row r="35" spans="1:37" s="400" customFormat="1" ht="14" customHeight="1">
      <c r="A35" s="294" t="s">
        <v>181</v>
      </c>
      <c r="B35" s="401"/>
      <c r="C35" s="401"/>
      <c r="D35" s="401"/>
      <c r="E35" s="401"/>
      <c r="F35" s="401"/>
      <c r="G35" s="401"/>
      <c r="H35" s="401"/>
      <c r="I35" s="401"/>
      <c r="J35" s="401"/>
      <c r="K35" s="401"/>
      <c r="L35" s="401"/>
      <c r="M35" s="401"/>
      <c r="N35" s="401"/>
      <c r="O35" s="401"/>
      <c r="P35" s="401"/>
      <c r="Q35" s="401"/>
      <c r="R35" s="401"/>
      <c r="S35" s="401"/>
      <c r="T35" s="401"/>
      <c r="U35" s="401"/>
      <c r="V35" s="401"/>
      <c r="W35" s="401"/>
      <c r="X35" s="401"/>
      <c r="Y35" s="401"/>
      <c r="Z35" s="401"/>
      <c r="AA35" s="401"/>
      <c r="AB35" s="401"/>
      <c r="AC35" s="401"/>
      <c r="AD35" s="401"/>
      <c r="AE35" s="401"/>
      <c r="AF35" s="401"/>
      <c r="AG35" s="401"/>
      <c r="AH35" s="401"/>
      <c r="AI35" s="401"/>
      <c r="AJ35" s="401"/>
      <c r="AK35" s="401"/>
    </row>
    <row r="36" spans="1:37" s="400" customFormat="1" ht="14" customHeight="1">
      <c r="A36" s="296" t="s">
        <v>197</v>
      </c>
      <c r="B36" s="397">
        <f>B22+B29+B33</f>
        <v>743351.25</v>
      </c>
      <c r="C36" s="397">
        <f t="shared" ref="C36:AK36" si="10">C22+C29+C33</f>
        <v>772699.82062500005</v>
      </c>
      <c r="D36" s="397">
        <f t="shared" si="10"/>
        <v>800903.36407781253</v>
      </c>
      <c r="E36" s="397">
        <f t="shared" si="10"/>
        <v>830136.33686665259</v>
      </c>
      <c r="F36" s="397">
        <f t="shared" si="10"/>
        <v>860436.3131622856</v>
      </c>
      <c r="G36" s="397">
        <f t="shared" si="10"/>
        <v>891842.23859270895</v>
      </c>
      <c r="H36" s="397">
        <f t="shared" si="10"/>
        <v>924394.48030134314</v>
      </c>
      <c r="I36" s="397">
        <f t="shared" si="10"/>
        <v>958134.8788323421</v>
      </c>
      <c r="J36" s="397">
        <f t="shared" si="10"/>
        <v>993106.80190972239</v>
      </c>
      <c r="K36" s="397">
        <f t="shared" si="10"/>
        <v>1029355.2001794273</v>
      </c>
      <c r="L36" s="397">
        <f t="shared" si="10"/>
        <v>1066926.6649859762</v>
      </c>
      <c r="M36" s="397">
        <f t="shared" si="10"/>
        <v>1105869.4882579644</v>
      </c>
      <c r="N36" s="397">
        <f t="shared" si="10"/>
        <v>1146233.7245793804</v>
      </c>
      <c r="O36" s="397">
        <f t="shared" si="10"/>
        <v>1188071.2555265278</v>
      </c>
      <c r="P36" s="397">
        <f t="shared" si="10"/>
        <v>1231435.8563532461</v>
      </c>
      <c r="Q36" s="397">
        <f t="shared" si="10"/>
        <v>1276383.2651101395</v>
      </c>
      <c r="R36" s="397">
        <f t="shared" si="10"/>
        <v>1322971.2542866594</v>
      </c>
      <c r="S36" s="397">
        <f t="shared" si="10"/>
        <v>1371259.7050681224</v>
      </c>
      <c r="T36" s="397">
        <f t="shared" si="10"/>
        <v>1421310.6843031091</v>
      </c>
      <c r="U36" s="397">
        <f t="shared" si="10"/>
        <v>1473188.5242801723</v>
      </c>
      <c r="V36" s="397">
        <f t="shared" si="10"/>
        <v>1526959.9054163988</v>
      </c>
      <c r="W36" s="397">
        <f t="shared" si="10"/>
        <v>1582693.9419640978</v>
      </c>
      <c r="X36" s="397">
        <f t="shared" si="10"/>
        <v>1640462.2708457874</v>
      </c>
      <c r="Y36" s="397">
        <f t="shared" si="10"/>
        <v>1700339.1437316583</v>
      </c>
      <c r="Z36" s="397">
        <f t="shared" si="10"/>
        <v>1762401.5224778638</v>
      </c>
      <c r="AA36" s="397">
        <f t="shared" si="10"/>
        <v>1826729.1780483059</v>
      </c>
      <c r="AB36" s="397">
        <f t="shared" si="10"/>
        <v>1893404.7930470691</v>
      </c>
      <c r="AC36" s="397">
        <f t="shared" si="10"/>
        <v>1962514.0679932868</v>
      </c>
      <c r="AD36" s="397">
        <f t="shared" si="10"/>
        <v>2034145.8314750418</v>
      </c>
      <c r="AE36" s="397">
        <f t="shared" si="10"/>
        <v>2108392.1543238815</v>
      </c>
      <c r="AF36" s="397">
        <f t="shared" si="10"/>
        <v>2185348.4679567018</v>
      </c>
      <c r="AG36" s="397">
        <f t="shared" si="10"/>
        <v>2265113.687037122</v>
      </c>
      <c r="AH36" s="397">
        <f t="shared" si="10"/>
        <v>2347790.3366139769</v>
      </c>
      <c r="AI36" s="397">
        <f t="shared" si="10"/>
        <v>2433484.683900387</v>
      </c>
      <c r="AJ36" s="397">
        <f t="shared" si="10"/>
        <v>2522306.874862751</v>
      </c>
      <c r="AK36" s="397">
        <f t="shared" si="10"/>
        <v>2614371.0757952407</v>
      </c>
    </row>
    <row r="37" spans="1:37" s="13" customFormat="1" ht="14" customHeight="1">
      <c r="A37" s="29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row>
    <row r="38" spans="1:37" s="5" customFormat="1" ht="14" customHeight="1">
      <c r="A38" s="390" t="s">
        <v>382</v>
      </c>
      <c r="B38" s="329"/>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row>
    <row r="39" spans="1:37" s="134" customFormat="1" ht="14" customHeight="1" outlineLevel="1">
      <c r="A39" s="381" t="s">
        <v>99</v>
      </c>
      <c r="B39" s="135">
        <f>B70*'B1. MASTER AGENT INPUTS'!E9</f>
        <v>2070</v>
      </c>
      <c r="C39" s="136">
        <f>C70*'B1. MASTER AGENT INPUTS'!$E$9</f>
        <v>80</v>
      </c>
      <c r="D39" s="136">
        <f>D70*'B1. MASTER AGENT INPUTS'!$E$9</f>
        <v>80</v>
      </c>
      <c r="E39" s="136">
        <f>E70*'B1. MASTER AGENT INPUTS'!$E$9</f>
        <v>80</v>
      </c>
      <c r="F39" s="136">
        <f>F70*'B1. MASTER AGENT INPUTS'!$E$9</f>
        <v>80</v>
      </c>
      <c r="G39" s="136">
        <f>G70*'B1. MASTER AGENT INPUTS'!$E$9</f>
        <v>90</v>
      </c>
      <c r="H39" s="136">
        <f>H70*'B1. MASTER AGENT INPUTS'!$E$9</f>
        <v>90</v>
      </c>
      <c r="I39" s="136">
        <f>I70*'B1. MASTER AGENT INPUTS'!$E$9</f>
        <v>100</v>
      </c>
      <c r="J39" s="136">
        <f>J70*'B1. MASTER AGENT INPUTS'!$E$9</f>
        <v>90</v>
      </c>
      <c r="K39" s="136">
        <f>K70*'B1. MASTER AGENT INPUTS'!$E$9</f>
        <v>100</v>
      </c>
      <c r="L39" s="136">
        <f>L70*'B1. MASTER AGENT INPUTS'!$E$9</f>
        <v>110</v>
      </c>
      <c r="M39" s="136">
        <f>M70*'B1. MASTER AGENT INPUTS'!$E$9</f>
        <v>110</v>
      </c>
      <c r="N39" s="136">
        <f>N70*'B1. MASTER AGENT INPUTS'!$E$9</f>
        <v>110</v>
      </c>
      <c r="O39" s="136">
        <f>O70*'B1. MASTER AGENT INPUTS'!$E$9</f>
        <v>110</v>
      </c>
      <c r="P39" s="136">
        <f>P70*'B1. MASTER AGENT INPUTS'!$E$9</f>
        <v>120</v>
      </c>
      <c r="Q39" s="136">
        <f>Q70*'B1. MASTER AGENT INPUTS'!$E$9</f>
        <v>130</v>
      </c>
      <c r="R39" s="136">
        <f>R70*'B1. MASTER AGENT INPUTS'!$E$9</f>
        <v>130</v>
      </c>
      <c r="S39" s="136">
        <f>S70*'B1. MASTER AGENT INPUTS'!$E$9</f>
        <v>130</v>
      </c>
      <c r="T39" s="136">
        <f>T70*'B1. MASTER AGENT INPUTS'!$E$9</f>
        <v>140</v>
      </c>
      <c r="U39" s="136">
        <f>U70*'B1. MASTER AGENT INPUTS'!$E$9</f>
        <v>150</v>
      </c>
      <c r="V39" s="136">
        <f>V70*'B1. MASTER AGENT INPUTS'!$E$9</f>
        <v>140</v>
      </c>
      <c r="W39" s="136">
        <f>W70*'B1. MASTER AGENT INPUTS'!$E$9</f>
        <v>160</v>
      </c>
      <c r="X39" s="136">
        <f>X70*'B1. MASTER AGENT INPUTS'!$E$9</f>
        <v>160</v>
      </c>
      <c r="Y39" s="136">
        <f>Y70*'B1. MASTER AGENT INPUTS'!$E$9</f>
        <v>170</v>
      </c>
      <c r="Z39" s="136">
        <f>Z70*'B1. MASTER AGENT INPUTS'!$E$9</f>
        <v>170</v>
      </c>
      <c r="AA39" s="136">
        <f>AA70*'B1. MASTER AGENT INPUTS'!$E$9</f>
        <v>180</v>
      </c>
      <c r="AB39" s="136">
        <f>AB70*'B1. MASTER AGENT INPUTS'!$E$9</f>
        <v>180</v>
      </c>
      <c r="AC39" s="136">
        <f>AC70*'B1. MASTER AGENT INPUTS'!$E$9</f>
        <v>190</v>
      </c>
      <c r="AD39" s="136">
        <f>AD70*'B1. MASTER AGENT INPUTS'!$E$9</f>
        <v>200</v>
      </c>
      <c r="AE39" s="136">
        <f>AE70*'B1. MASTER AGENT INPUTS'!$E$9</f>
        <v>210</v>
      </c>
      <c r="AF39" s="136">
        <f>AF70*'B1. MASTER AGENT INPUTS'!$E$9</f>
        <v>210</v>
      </c>
      <c r="AG39" s="136">
        <f>AG70*'B1. MASTER AGENT INPUTS'!$E$9</f>
        <v>220</v>
      </c>
      <c r="AH39" s="136">
        <f>AH70*'B1. MASTER AGENT INPUTS'!$E$9</f>
        <v>230</v>
      </c>
      <c r="AI39" s="136">
        <f>AI70*'B1. MASTER AGENT INPUTS'!$E$9</f>
        <v>240</v>
      </c>
      <c r="AJ39" s="136">
        <f>AJ70*'B1. MASTER AGENT INPUTS'!$E$9</f>
        <v>250</v>
      </c>
      <c r="AK39" s="136">
        <f>AK70*'B1. MASTER AGENT INPUTS'!$E$9</f>
        <v>250</v>
      </c>
    </row>
    <row r="40" spans="1:37" s="134" customFormat="1" ht="14" customHeight="1" outlineLevel="1">
      <c r="A40" s="573" t="s">
        <v>274</v>
      </c>
      <c r="B40" s="135">
        <f>B71*'B1. MASTER AGENT INPUTS'!$E$21*'B1. MASTER AGENT INPUTS'!$E$8*'B1. MASTER AGENT INPUTS'!$E$7</f>
        <v>207</v>
      </c>
      <c r="C40" s="135">
        <f>C71*'B1. MASTER AGENT INPUTS'!$E$21*'B1. MASTER AGENT INPUTS'!$E$8*'B1. MASTER AGENT INPUTS'!$E$7</f>
        <v>215</v>
      </c>
      <c r="D40" s="135">
        <f>D71*'B1. MASTER AGENT INPUTS'!$E$21*'B1. MASTER AGENT INPUTS'!$E$8*'B1. MASTER AGENT INPUTS'!$E$7</f>
        <v>223</v>
      </c>
      <c r="E40" s="135">
        <f>E71*'B1. MASTER AGENT INPUTS'!$E$21*'B1. MASTER AGENT INPUTS'!$E$8*'B1. MASTER AGENT INPUTS'!$E$7</f>
        <v>231</v>
      </c>
      <c r="F40" s="135">
        <f>F71*'B1. MASTER AGENT INPUTS'!$E$21*'B1. MASTER AGENT INPUTS'!$E$8*'B1. MASTER AGENT INPUTS'!$E$7</f>
        <v>239</v>
      </c>
      <c r="G40" s="135">
        <f>G71*'B1. MASTER AGENT INPUTS'!$E$21*'B1. MASTER AGENT INPUTS'!$E$8*'B1. MASTER AGENT INPUTS'!$E$7</f>
        <v>248</v>
      </c>
      <c r="H40" s="135">
        <f>H71*'B1. MASTER AGENT INPUTS'!$E$21*'B1. MASTER AGENT INPUTS'!$E$8*'B1. MASTER AGENT INPUTS'!$E$7</f>
        <v>257</v>
      </c>
      <c r="I40" s="135">
        <f>I71*'B1. MASTER AGENT INPUTS'!$E$21*'B1. MASTER AGENT INPUTS'!$E$8*'B1. MASTER AGENT INPUTS'!$E$7</f>
        <v>267</v>
      </c>
      <c r="J40" s="135">
        <f>J71*'B1. MASTER AGENT INPUTS'!$E$21*'B1. MASTER AGENT INPUTS'!$E$8*'B1. MASTER AGENT INPUTS'!$E$7</f>
        <v>276</v>
      </c>
      <c r="K40" s="135">
        <f>K71*'B1. MASTER AGENT INPUTS'!$E$21*'B1. MASTER AGENT INPUTS'!$E$8*'B1. MASTER AGENT INPUTS'!$E$7</f>
        <v>286</v>
      </c>
      <c r="L40" s="135">
        <f>L71*'B1. MASTER AGENT INPUTS'!$E$21*'B1. MASTER AGENT INPUTS'!$E$8*'B1. MASTER AGENT INPUTS'!$E$7</f>
        <v>297</v>
      </c>
      <c r="M40" s="135">
        <f>M71*'B1. MASTER AGENT INPUTS'!$E$21*'B1. MASTER AGENT INPUTS'!$E$8*'B1. MASTER AGENT INPUTS'!$E$7</f>
        <v>308</v>
      </c>
      <c r="N40" s="135">
        <f>N71*'B1. MASTER AGENT INPUTS'!$E$21*'B1. MASTER AGENT INPUTS'!$E$8*'B1. MASTER AGENT INPUTS'!$E$7</f>
        <v>319</v>
      </c>
      <c r="O40" s="135">
        <f>O71*'B1. MASTER AGENT INPUTS'!$E$21*'B1. MASTER AGENT INPUTS'!$E$8*'B1. MASTER AGENT INPUTS'!$E$7</f>
        <v>330</v>
      </c>
      <c r="P40" s="135">
        <f>P71*'B1. MASTER AGENT INPUTS'!$E$21*'B1. MASTER AGENT INPUTS'!$E$8*'B1. MASTER AGENT INPUTS'!$E$7</f>
        <v>342</v>
      </c>
      <c r="Q40" s="135">
        <f>Q71*'B1. MASTER AGENT INPUTS'!$E$21*'B1. MASTER AGENT INPUTS'!$E$8*'B1. MASTER AGENT INPUTS'!$E$7</f>
        <v>355</v>
      </c>
      <c r="R40" s="135">
        <f>R71*'B1. MASTER AGENT INPUTS'!$E$21*'B1. MASTER AGENT INPUTS'!$E$8*'B1. MASTER AGENT INPUTS'!$E$7</f>
        <v>368</v>
      </c>
      <c r="S40" s="135">
        <f>S71*'B1. MASTER AGENT INPUTS'!$E$21*'B1. MASTER AGENT INPUTS'!$E$8*'B1. MASTER AGENT INPUTS'!$E$7</f>
        <v>381</v>
      </c>
      <c r="T40" s="135">
        <f>T71*'B1. MASTER AGENT INPUTS'!$E$21*'B1. MASTER AGENT INPUTS'!$E$8*'B1. MASTER AGENT INPUTS'!$E$7</f>
        <v>395</v>
      </c>
      <c r="U40" s="135">
        <f>U71*'B1. MASTER AGENT INPUTS'!$E$21*'B1. MASTER AGENT INPUTS'!$E$8*'B1. MASTER AGENT INPUTS'!$E$7</f>
        <v>410</v>
      </c>
      <c r="V40" s="135">
        <f>V71*'B1. MASTER AGENT INPUTS'!$E$21*'B1. MASTER AGENT INPUTS'!$E$8*'B1. MASTER AGENT INPUTS'!$E$7</f>
        <v>424</v>
      </c>
      <c r="W40" s="135">
        <f>W71*'B1. MASTER AGENT INPUTS'!$E$21*'B1. MASTER AGENT INPUTS'!$E$8*'B1. MASTER AGENT INPUTS'!$E$7</f>
        <v>440</v>
      </c>
      <c r="X40" s="135">
        <f>X71*'B1. MASTER AGENT INPUTS'!$E$21*'B1. MASTER AGENT INPUTS'!$E$8*'B1. MASTER AGENT INPUTS'!$E$7</f>
        <v>456</v>
      </c>
      <c r="Y40" s="135">
        <f>Y71*'B1. MASTER AGENT INPUTS'!$E$21*'B1. MASTER AGENT INPUTS'!$E$8*'B1. MASTER AGENT INPUTS'!$E$7</f>
        <v>473</v>
      </c>
      <c r="Z40" s="135">
        <f>Z71*'B1. MASTER AGENT INPUTS'!$E$21*'B1. MASTER AGENT INPUTS'!$E$8*'B1. MASTER AGENT INPUTS'!$E$7</f>
        <v>490</v>
      </c>
      <c r="AA40" s="135">
        <f>AA71*'B1. MASTER AGENT INPUTS'!$E$21*'B1. MASTER AGENT INPUTS'!$E$8*'B1. MASTER AGENT INPUTS'!$E$7</f>
        <v>508</v>
      </c>
      <c r="AB40" s="135">
        <f>AB71*'B1. MASTER AGENT INPUTS'!$E$21*'B1. MASTER AGENT INPUTS'!$E$8*'B1. MASTER AGENT INPUTS'!$E$7</f>
        <v>526</v>
      </c>
      <c r="AC40" s="135">
        <f>AC71*'B1. MASTER AGENT INPUTS'!$E$21*'B1. MASTER AGENT INPUTS'!$E$8*'B1. MASTER AGENT INPUTS'!$E$7</f>
        <v>545</v>
      </c>
      <c r="AD40" s="135">
        <f>AD71*'B1. MASTER AGENT INPUTS'!$E$21*'B1. MASTER AGENT INPUTS'!$E$8*'B1. MASTER AGENT INPUTS'!$E$7</f>
        <v>565</v>
      </c>
      <c r="AE40" s="135">
        <f>AE71*'B1. MASTER AGENT INPUTS'!$E$21*'B1. MASTER AGENT INPUTS'!$E$8*'B1. MASTER AGENT INPUTS'!$E$7</f>
        <v>586</v>
      </c>
      <c r="AF40" s="135">
        <f>AF71*'B1. MASTER AGENT INPUTS'!$E$21*'B1. MASTER AGENT INPUTS'!$E$8*'B1. MASTER AGENT INPUTS'!$E$7</f>
        <v>607</v>
      </c>
      <c r="AG40" s="135">
        <f>AG71*'B1. MASTER AGENT INPUTS'!$E$21*'B1. MASTER AGENT INPUTS'!$E$8*'B1. MASTER AGENT INPUTS'!$E$7</f>
        <v>629</v>
      </c>
      <c r="AH40" s="135">
        <f>AH71*'B1. MASTER AGENT INPUTS'!$E$21*'B1. MASTER AGENT INPUTS'!$E$8*'B1. MASTER AGENT INPUTS'!$E$7</f>
        <v>652</v>
      </c>
      <c r="AI40" s="135">
        <f>AI71*'B1. MASTER AGENT INPUTS'!$E$21*'B1. MASTER AGENT INPUTS'!$E$8*'B1. MASTER AGENT INPUTS'!$E$7</f>
        <v>676</v>
      </c>
      <c r="AJ40" s="135">
        <f>AJ71*'B1. MASTER AGENT INPUTS'!$E$21*'B1. MASTER AGENT INPUTS'!$E$8*'B1. MASTER AGENT INPUTS'!$E$7</f>
        <v>701</v>
      </c>
      <c r="AK40" s="135">
        <f>AK71*'B1. MASTER AGENT INPUTS'!$E$21*'B1. MASTER AGENT INPUTS'!$E$8*'B1. MASTER AGENT INPUTS'!$E$7</f>
        <v>726</v>
      </c>
    </row>
    <row r="41" spans="1:37" s="134" customFormat="1" ht="14" customHeight="1" outlineLevel="1">
      <c r="A41" s="381" t="s">
        <v>263</v>
      </c>
      <c r="B41" s="135">
        <f>B71*'B1. MASTER AGENT INPUTS'!$E$17*'B1. MASTER AGENT INPUTS'!$E$18*'B1. MASTER AGENT INPUTS'!$B$37</f>
        <v>621</v>
      </c>
      <c r="C41" s="135">
        <f>C71*'B1. MASTER AGENT INPUTS'!$E$17*'B1. MASTER AGENT INPUTS'!$E$18*'B1. MASTER AGENT INPUTS'!$B$37</f>
        <v>645</v>
      </c>
      <c r="D41" s="135">
        <f>D71*'B1. MASTER AGENT INPUTS'!$E$17*'B1. MASTER AGENT INPUTS'!$E$18*'B1. MASTER AGENT INPUTS'!$B$37</f>
        <v>669</v>
      </c>
      <c r="E41" s="135">
        <f>E71*'B1. MASTER AGENT INPUTS'!$E$17*'B1. MASTER AGENT INPUTS'!$E$18*'B1. MASTER AGENT INPUTS'!$B$37</f>
        <v>693</v>
      </c>
      <c r="F41" s="135">
        <f>F71*'B1. MASTER AGENT INPUTS'!$E$17*'B1. MASTER AGENT INPUTS'!$E$18*'B1. MASTER AGENT INPUTS'!$B$37</f>
        <v>717</v>
      </c>
      <c r="G41" s="135">
        <f>G71*'B1. MASTER AGENT INPUTS'!$E$17*'B1. MASTER AGENT INPUTS'!$E$18*'B1. MASTER AGENT INPUTS'!$B$37</f>
        <v>744</v>
      </c>
      <c r="H41" s="135">
        <f>H71*'B1. MASTER AGENT INPUTS'!$E$17*'B1. MASTER AGENT INPUTS'!$E$18*'B1. MASTER AGENT INPUTS'!$B$37</f>
        <v>771</v>
      </c>
      <c r="I41" s="135">
        <f>I71*'B1. MASTER AGENT INPUTS'!$E$17*'B1. MASTER AGENT INPUTS'!$E$18*'B1. MASTER AGENT INPUTS'!$B$37</f>
        <v>801</v>
      </c>
      <c r="J41" s="135">
        <f>J71*'B1. MASTER AGENT INPUTS'!$E$17*'B1. MASTER AGENT INPUTS'!$E$18*'B1. MASTER AGENT INPUTS'!$B$37</f>
        <v>828</v>
      </c>
      <c r="K41" s="135">
        <f>K71*'B1. MASTER AGENT INPUTS'!$E$17*'B1. MASTER AGENT INPUTS'!$E$18*'B1. MASTER AGENT INPUTS'!$B$37</f>
        <v>858</v>
      </c>
      <c r="L41" s="135">
        <f>L71*'B1. MASTER AGENT INPUTS'!$E$17*'B1. MASTER AGENT INPUTS'!$E$18*'B1. MASTER AGENT INPUTS'!$B$37</f>
        <v>891</v>
      </c>
      <c r="M41" s="135">
        <f>M71*'B1. MASTER AGENT INPUTS'!$E$17*'B1. MASTER AGENT INPUTS'!$E$18*'B1. MASTER AGENT INPUTS'!$B$37</f>
        <v>924</v>
      </c>
      <c r="N41" s="135">
        <f>N71*'B1. MASTER AGENT INPUTS'!$E$17*'B1. MASTER AGENT INPUTS'!$E$18*'B1. MASTER AGENT INPUTS'!$B$37</f>
        <v>957</v>
      </c>
      <c r="O41" s="135">
        <f>O71*'B1. MASTER AGENT INPUTS'!$E$17*'B1. MASTER AGENT INPUTS'!$E$18*'B1. MASTER AGENT INPUTS'!$B$37</f>
        <v>990</v>
      </c>
      <c r="P41" s="135">
        <f>P71*'B1. MASTER AGENT INPUTS'!$E$17*'B1. MASTER AGENT INPUTS'!$E$18*'B1. MASTER AGENT INPUTS'!$B$37</f>
        <v>1026</v>
      </c>
      <c r="Q41" s="135">
        <f>Q71*'B1. MASTER AGENT INPUTS'!$E$17*'B1. MASTER AGENT INPUTS'!$E$18*'B1. MASTER AGENT INPUTS'!$B$37</f>
        <v>1065</v>
      </c>
      <c r="R41" s="135">
        <f>R71*'B1. MASTER AGENT INPUTS'!$E$17*'B1. MASTER AGENT INPUTS'!$E$18*'B1. MASTER AGENT INPUTS'!$B$37</f>
        <v>1104</v>
      </c>
      <c r="S41" s="135">
        <f>S71*'B1. MASTER AGENT INPUTS'!$E$17*'B1. MASTER AGENT INPUTS'!$E$18*'B1. MASTER AGENT INPUTS'!$B$37</f>
        <v>1143</v>
      </c>
      <c r="T41" s="135">
        <f>T71*'B1. MASTER AGENT INPUTS'!$E$17*'B1. MASTER AGENT INPUTS'!$E$18*'B1. MASTER AGENT INPUTS'!$B$37</f>
        <v>1185</v>
      </c>
      <c r="U41" s="135">
        <f>U71*'B1. MASTER AGENT INPUTS'!$E$17*'B1. MASTER AGENT INPUTS'!$E$18*'B1. MASTER AGENT INPUTS'!$B$37</f>
        <v>1230</v>
      </c>
      <c r="V41" s="135">
        <f>V71*'B1. MASTER AGENT INPUTS'!$E$17*'B1. MASTER AGENT INPUTS'!$E$18*'B1. MASTER AGENT INPUTS'!$B$37</f>
        <v>1272</v>
      </c>
      <c r="W41" s="135">
        <f>W71*'B1. MASTER AGENT INPUTS'!$E$17*'B1. MASTER AGENT INPUTS'!$E$18*'B1. MASTER AGENT INPUTS'!$B$37</f>
        <v>1320</v>
      </c>
      <c r="X41" s="135">
        <f>X71*'B1. MASTER AGENT INPUTS'!$E$17*'B1. MASTER AGENT INPUTS'!$E$18*'B1. MASTER AGENT INPUTS'!$B$37</f>
        <v>1368</v>
      </c>
      <c r="Y41" s="135">
        <f>Y71*'B1. MASTER AGENT INPUTS'!$E$17*'B1. MASTER AGENT INPUTS'!$E$18*'B1. MASTER AGENT INPUTS'!$B$37</f>
        <v>1419</v>
      </c>
      <c r="Z41" s="135">
        <f>Z71*'B1. MASTER AGENT INPUTS'!$E$17*'B1. MASTER AGENT INPUTS'!$E$18*'B1. MASTER AGENT INPUTS'!$B$37</f>
        <v>1470</v>
      </c>
      <c r="AA41" s="135">
        <f>AA71*'B1. MASTER AGENT INPUTS'!$E$17*'B1. MASTER AGENT INPUTS'!$E$18*'B1. MASTER AGENT INPUTS'!$B$37</f>
        <v>1524</v>
      </c>
      <c r="AB41" s="135">
        <f>AB71*'B1. MASTER AGENT INPUTS'!$E$17*'B1. MASTER AGENT INPUTS'!$E$18*'B1. MASTER AGENT INPUTS'!$B$37</f>
        <v>1578</v>
      </c>
      <c r="AC41" s="135">
        <f>AC71*'B1. MASTER AGENT INPUTS'!$E$17*'B1. MASTER AGENT INPUTS'!$E$18*'B1. MASTER AGENT INPUTS'!$B$37</f>
        <v>1635</v>
      </c>
      <c r="AD41" s="135">
        <f>AD71*'B1. MASTER AGENT INPUTS'!$E$17*'B1. MASTER AGENT INPUTS'!$E$18*'B1. MASTER AGENT INPUTS'!$B$37</f>
        <v>1695</v>
      </c>
      <c r="AE41" s="135">
        <f>AE71*'B1. MASTER AGENT INPUTS'!$E$17*'B1. MASTER AGENT INPUTS'!$E$18*'B1. MASTER AGENT INPUTS'!$B$37</f>
        <v>1758</v>
      </c>
      <c r="AF41" s="135">
        <f>AF71*'B1. MASTER AGENT INPUTS'!$E$17*'B1. MASTER AGENT INPUTS'!$E$18*'B1. MASTER AGENT INPUTS'!$B$37</f>
        <v>1821</v>
      </c>
      <c r="AG41" s="135">
        <f>AG71*'B1. MASTER AGENT INPUTS'!$E$17*'B1. MASTER AGENT INPUTS'!$E$18*'B1. MASTER AGENT INPUTS'!$B$37</f>
        <v>1887</v>
      </c>
      <c r="AH41" s="135">
        <f>AH71*'B1. MASTER AGENT INPUTS'!$E$17*'B1. MASTER AGENT INPUTS'!$E$18*'B1. MASTER AGENT INPUTS'!$B$37</f>
        <v>1956</v>
      </c>
      <c r="AI41" s="135">
        <f>AI71*'B1. MASTER AGENT INPUTS'!$E$17*'B1. MASTER AGENT INPUTS'!$E$18*'B1. MASTER AGENT INPUTS'!$B$37</f>
        <v>2028</v>
      </c>
      <c r="AJ41" s="135">
        <f>AJ71*'B1. MASTER AGENT INPUTS'!$E$17*'B1. MASTER AGENT INPUTS'!$E$18*'B1. MASTER AGENT INPUTS'!$B$37</f>
        <v>2103</v>
      </c>
      <c r="AK41" s="135">
        <f>AK71*'B1. MASTER AGENT INPUTS'!$E$17*'B1. MASTER AGENT INPUTS'!$E$18*'B1. MASTER AGENT INPUTS'!$B$37</f>
        <v>2178</v>
      </c>
    </row>
    <row r="42" spans="1:37" s="134" customFormat="1" ht="14" customHeight="1" outlineLevel="1">
      <c r="A42" s="381" t="s">
        <v>264</v>
      </c>
      <c r="B42" s="135">
        <f>B71*'B1. MASTER AGENT INPUTS'!$E$19*'B1. MASTER AGENT INPUTS'!$E$20*'B1. MASTER AGENT INPUTS'!$E$37</f>
        <v>521.64</v>
      </c>
      <c r="C42" s="135">
        <f>C71*'B1. MASTER AGENT INPUTS'!$E$19*'B1. MASTER AGENT INPUTS'!$E$20*'B1. MASTER AGENT INPUTS'!$E$37</f>
        <v>541.79999999999995</v>
      </c>
      <c r="D42" s="135">
        <f>D71*'B1. MASTER AGENT INPUTS'!$E$19*'B1. MASTER AGENT INPUTS'!$E$20*'B1. MASTER AGENT INPUTS'!$E$37</f>
        <v>561.96</v>
      </c>
      <c r="E42" s="135">
        <f>E71*'B1. MASTER AGENT INPUTS'!$E$19*'B1. MASTER AGENT INPUTS'!$E$20*'B1. MASTER AGENT INPUTS'!$E$37</f>
        <v>582.12</v>
      </c>
      <c r="F42" s="135">
        <f>F71*'B1. MASTER AGENT INPUTS'!$E$19*'B1. MASTER AGENT INPUTS'!$E$20*'B1. MASTER AGENT INPUTS'!$E$37</f>
        <v>602.28</v>
      </c>
      <c r="G42" s="135">
        <f>G71*'B1. MASTER AGENT INPUTS'!$E$19*'B1. MASTER AGENT INPUTS'!$E$20*'B1. MASTER AGENT INPUTS'!$E$37</f>
        <v>624.96</v>
      </c>
      <c r="H42" s="135">
        <f>H71*'B1. MASTER AGENT INPUTS'!$E$19*'B1. MASTER AGENT INPUTS'!$E$20*'B1. MASTER AGENT INPUTS'!$E$37</f>
        <v>647.64</v>
      </c>
      <c r="I42" s="135">
        <f>I71*'B1. MASTER AGENT INPUTS'!$E$19*'B1. MASTER AGENT INPUTS'!$E$20*'B1. MASTER AGENT INPUTS'!$E$37</f>
        <v>672.84</v>
      </c>
      <c r="J42" s="135">
        <f>J71*'B1. MASTER AGENT INPUTS'!$E$19*'B1. MASTER AGENT INPUTS'!$E$20*'B1. MASTER AGENT INPUTS'!$E$37</f>
        <v>695.52</v>
      </c>
      <c r="K42" s="135">
        <f>K71*'B1. MASTER AGENT INPUTS'!$E$19*'B1. MASTER AGENT INPUTS'!$E$20*'B1. MASTER AGENT INPUTS'!$E$37</f>
        <v>720.72</v>
      </c>
      <c r="L42" s="135">
        <f>L71*'B1. MASTER AGENT INPUTS'!$E$19*'B1. MASTER AGENT INPUTS'!$E$20*'B1. MASTER AGENT INPUTS'!$E$37</f>
        <v>748.43999999999994</v>
      </c>
      <c r="M42" s="135">
        <f>M71*'B1. MASTER AGENT INPUTS'!$E$19*'B1. MASTER AGENT INPUTS'!$E$20*'B1. MASTER AGENT INPUTS'!$E$37</f>
        <v>776.16</v>
      </c>
      <c r="N42" s="135">
        <f>N71*'B1. MASTER AGENT INPUTS'!$E$19*'B1. MASTER AGENT INPUTS'!$E$20*'B1. MASTER AGENT INPUTS'!$E$37</f>
        <v>803.88</v>
      </c>
      <c r="O42" s="135">
        <f>O71*'B1. MASTER AGENT INPUTS'!$E$19*'B1. MASTER AGENT INPUTS'!$E$20*'B1. MASTER AGENT INPUTS'!$E$37</f>
        <v>831.6</v>
      </c>
      <c r="P42" s="135">
        <f>P71*'B1. MASTER AGENT INPUTS'!$E$19*'B1. MASTER AGENT INPUTS'!$E$20*'B1. MASTER AGENT INPUTS'!$E$37</f>
        <v>861.84</v>
      </c>
      <c r="Q42" s="135">
        <f>Q71*'B1. MASTER AGENT INPUTS'!$E$19*'B1. MASTER AGENT INPUTS'!$E$20*'B1. MASTER AGENT INPUTS'!$E$37</f>
        <v>894.6</v>
      </c>
      <c r="R42" s="135">
        <f>R71*'B1. MASTER AGENT INPUTS'!$E$19*'B1. MASTER AGENT INPUTS'!$E$20*'B1. MASTER AGENT INPUTS'!$E$37</f>
        <v>927.36</v>
      </c>
      <c r="S42" s="135">
        <f>S71*'B1. MASTER AGENT INPUTS'!$E$19*'B1. MASTER AGENT INPUTS'!$E$20*'B1. MASTER AGENT INPUTS'!$E$37</f>
        <v>960.12</v>
      </c>
      <c r="T42" s="135">
        <f>T71*'B1. MASTER AGENT INPUTS'!$E$19*'B1. MASTER AGENT INPUTS'!$E$20*'B1. MASTER AGENT INPUTS'!$E$37</f>
        <v>995.4</v>
      </c>
      <c r="U42" s="135">
        <f>U71*'B1. MASTER AGENT INPUTS'!$E$19*'B1. MASTER AGENT INPUTS'!$E$20*'B1. MASTER AGENT INPUTS'!$E$37</f>
        <v>1033.2</v>
      </c>
      <c r="V42" s="135">
        <f>V71*'B1. MASTER AGENT INPUTS'!$E$19*'B1. MASTER AGENT INPUTS'!$E$20*'B1. MASTER AGENT INPUTS'!$E$37</f>
        <v>1068.48</v>
      </c>
      <c r="W42" s="135">
        <f>W71*'B1. MASTER AGENT INPUTS'!$E$19*'B1. MASTER AGENT INPUTS'!$E$20*'B1. MASTER AGENT INPUTS'!$E$37</f>
        <v>1108.8</v>
      </c>
      <c r="X42" s="135">
        <f>X71*'B1. MASTER AGENT INPUTS'!$E$19*'B1. MASTER AGENT INPUTS'!$E$20*'B1. MASTER AGENT INPUTS'!$E$37</f>
        <v>1149.1199999999999</v>
      </c>
      <c r="Y42" s="135">
        <f>Y71*'B1. MASTER AGENT INPUTS'!$E$19*'B1. MASTER AGENT INPUTS'!$E$20*'B1. MASTER AGENT INPUTS'!$E$37</f>
        <v>1191.96</v>
      </c>
      <c r="Z42" s="135">
        <f>Z71*'B1. MASTER AGENT INPUTS'!$E$19*'B1. MASTER AGENT INPUTS'!$E$20*'B1. MASTER AGENT INPUTS'!$E$37</f>
        <v>1234.8</v>
      </c>
      <c r="AA42" s="135">
        <f>AA71*'B1. MASTER AGENT INPUTS'!$E$19*'B1. MASTER AGENT INPUTS'!$E$20*'B1. MASTER AGENT INPUTS'!$E$37</f>
        <v>1280.1600000000001</v>
      </c>
      <c r="AB42" s="135">
        <f>AB71*'B1. MASTER AGENT INPUTS'!$E$19*'B1. MASTER AGENT INPUTS'!$E$20*'B1. MASTER AGENT INPUTS'!$E$37</f>
        <v>1325.52</v>
      </c>
      <c r="AC42" s="135">
        <f>AC71*'B1. MASTER AGENT INPUTS'!$E$19*'B1. MASTER AGENT INPUTS'!$E$20*'B1. MASTER AGENT INPUTS'!$E$37</f>
        <v>1373.4</v>
      </c>
      <c r="AD42" s="135">
        <f>AD71*'B1. MASTER AGENT INPUTS'!$E$19*'B1. MASTER AGENT INPUTS'!$E$20*'B1. MASTER AGENT INPUTS'!$E$37</f>
        <v>1423.8</v>
      </c>
      <c r="AE42" s="135">
        <f>AE71*'B1. MASTER AGENT INPUTS'!$E$19*'B1. MASTER AGENT INPUTS'!$E$20*'B1. MASTER AGENT INPUTS'!$E$37</f>
        <v>1476.72</v>
      </c>
      <c r="AF42" s="135">
        <f>AF71*'B1. MASTER AGENT INPUTS'!$E$19*'B1. MASTER AGENT INPUTS'!$E$20*'B1. MASTER AGENT INPUTS'!$E$37</f>
        <v>1529.6399999999999</v>
      </c>
      <c r="AG42" s="135">
        <f>AG71*'B1. MASTER AGENT INPUTS'!$E$19*'B1. MASTER AGENT INPUTS'!$E$20*'B1. MASTER AGENT INPUTS'!$E$37</f>
        <v>1585.08</v>
      </c>
      <c r="AH42" s="135">
        <f>AH71*'B1. MASTER AGENT INPUTS'!$E$19*'B1. MASTER AGENT INPUTS'!$E$20*'B1. MASTER AGENT INPUTS'!$E$37</f>
        <v>1643.04</v>
      </c>
      <c r="AI42" s="135">
        <f>AI71*'B1. MASTER AGENT INPUTS'!$E$19*'B1. MASTER AGENT INPUTS'!$E$20*'B1. MASTER AGENT INPUTS'!$E$37</f>
        <v>1703.52</v>
      </c>
      <c r="AJ42" s="135">
        <f>AJ71*'B1. MASTER AGENT INPUTS'!$E$19*'B1. MASTER AGENT INPUTS'!$E$20*'B1. MASTER AGENT INPUTS'!$E$37</f>
        <v>1766.52</v>
      </c>
      <c r="AK42" s="135">
        <f>AK71*'B1. MASTER AGENT INPUTS'!$E$19*'B1. MASTER AGENT INPUTS'!$E$20*'B1. MASTER AGENT INPUTS'!$E$37</f>
        <v>1829.52</v>
      </c>
    </row>
    <row r="43" spans="1:37" s="134" customFormat="1" ht="14" customHeight="1" outlineLevel="1">
      <c r="A43" s="381" t="s">
        <v>265</v>
      </c>
      <c r="B43" s="135">
        <f>B71*'B1. MASTER AGENT INPUTS'!$E$22*'B1. MASTER AGENT INPUTS'!$E$23*'B1. MASTER AGENT INPUTS'!$B$43</f>
        <v>326.02500000000003</v>
      </c>
      <c r="C43" s="135">
        <f>C71*'B1. MASTER AGENT INPUTS'!$E$22*'B1. MASTER AGENT INPUTS'!$E$23*'B1. MASTER AGENT INPUTS'!$B$43</f>
        <v>338.62500000000006</v>
      </c>
      <c r="D43" s="135">
        <f>D71*'B1. MASTER AGENT INPUTS'!$E$22*'B1. MASTER AGENT INPUTS'!$E$23*'B1. MASTER AGENT INPUTS'!$B$43</f>
        <v>351.22500000000002</v>
      </c>
      <c r="E43" s="135">
        <f>E71*'B1. MASTER AGENT INPUTS'!$E$22*'B1. MASTER AGENT INPUTS'!$E$23*'B1. MASTER AGENT INPUTS'!$B$43</f>
        <v>363.82500000000005</v>
      </c>
      <c r="F43" s="135">
        <f>F71*'B1. MASTER AGENT INPUTS'!$E$22*'B1. MASTER AGENT INPUTS'!$E$23*'B1. MASTER AGENT INPUTS'!$B$43</f>
        <v>376.42500000000007</v>
      </c>
      <c r="G43" s="135">
        <f>G71*'B1. MASTER AGENT INPUTS'!$E$22*'B1. MASTER AGENT INPUTS'!$E$23*'B1. MASTER AGENT INPUTS'!$B$43</f>
        <v>390.60000000000008</v>
      </c>
      <c r="H43" s="135">
        <f>H71*'B1. MASTER AGENT INPUTS'!$E$22*'B1. MASTER AGENT INPUTS'!$E$23*'B1. MASTER AGENT INPUTS'!$B$43</f>
        <v>404.77500000000003</v>
      </c>
      <c r="I43" s="135">
        <f>I71*'B1. MASTER AGENT INPUTS'!$E$22*'B1. MASTER AGENT INPUTS'!$E$23*'B1. MASTER AGENT INPUTS'!$B$43</f>
        <v>420.52500000000003</v>
      </c>
      <c r="J43" s="135">
        <f>J71*'B1. MASTER AGENT INPUTS'!$E$22*'B1. MASTER AGENT INPUTS'!$E$23*'B1. MASTER AGENT INPUTS'!$B$43</f>
        <v>434.70000000000005</v>
      </c>
      <c r="K43" s="135">
        <f>K71*'B1. MASTER AGENT INPUTS'!$E$22*'B1. MASTER AGENT INPUTS'!$E$23*'B1. MASTER AGENT INPUTS'!$B$43</f>
        <v>450.45000000000005</v>
      </c>
      <c r="L43" s="135">
        <f>L71*'B1. MASTER AGENT INPUTS'!$E$22*'B1. MASTER AGENT INPUTS'!$E$23*'B1. MASTER AGENT INPUTS'!$B$43</f>
        <v>467.77500000000009</v>
      </c>
      <c r="M43" s="135">
        <f>M71*'B1. MASTER AGENT INPUTS'!$E$22*'B1. MASTER AGENT INPUTS'!$E$23*'B1. MASTER AGENT INPUTS'!$B$43</f>
        <v>485.10000000000008</v>
      </c>
      <c r="N43" s="135">
        <f>N71*'B1. MASTER AGENT INPUTS'!$E$22*'B1. MASTER AGENT INPUTS'!$E$23*'B1. MASTER AGENT INPUTS'!$B$43</f>
        <v>502.42500000000007</v>
      </c>
      <c r="O43" s="135">
        <f>O71*'B1. MASTER AGENT INPUTS'!$E$22*'B1. MASTER AGENT INPUTS'!$E$23*'B1. MASTER AGENT INPUTS'!$B$43</f>
        <v>519.75000000000011</v>
      </c>
      <c r="P43" s="135">
        <f>P71*'B1. MASTER AGENT INPUTS'!$E$22*'B1. MASTER AGENT INPUTS'!$E$23*'B1. MASTER AGENT INPUTS'!$B$43</f>
        <v>538.65000000000009</v>
      </c>
      <c r="Q43" s="135">
        <f>Q71*'B1. MASTER AGENT INPUTS'!$E$22*'B1. MASTER AGENT INPUTS'!$E$23*'B1. MASTER AGENT INPUTS'!$B$43</f>
        <v>559.12500000000011</v>
      </c>
      <c r="R43" s="135">
        <f>R71*'B1. MASTER AGENT INPUTS'!$E$22*'B1. MASTER AGENT INPUTS'!$E$23*'B1. MASTER AGENT INPUTS'!$B$43</f>
        <v>579.60000000000014</v>
      </c>
      <c r="S43" s="135">
        <f>S71*'B1. MASTER AGENT INPUTS'!$E$22*'B1. MASTER AGENT INPUTS'!$E$23*'B1. MASTER AGENT INPUTS'!$B$43</f>
        <v>600.07500000000005</v>
      </c>
      <c r="T43" s="135">
        <f>T71*'B1. MASTER AGENT INPUTS'!$E$22*'B1. MASTER AGENT INPUTS'!$E$23*'B1. MASTER AGENT INPUTS'!$B$43</f>
        <v>622.12500000000011</v>
      </c>
      <c r="U43" s="135">
        <f>U71*'B1. MASTER AGENT INPUTS'!$E$22*'B1. MASTER AGENT INPUTS'!$E$23*'B1. MASTER AGENT INPUTS'!$B$43</f>
        <v>645.75000000000011</v>
      </c>
      <c r="V43" s="135">
        <f>V71*'B1. MASTER AGENT INPUTS'!$E$22*'B1. MASTER AGENT INPUTS'!$E$23*'B1. MASTER AGENT INPUTS'!$B$43</f>
        <v>667.80000000000007</v>
      </c>
      <c r="W43" s="135">
        <f>W71*'B1. MASTER AGENT INPUTS'!$E$22*'B1. MASTER AGENT INPUTS'!$E$23*'B1. MASTER AGENT INPUTS'!$B$43</f>
        <v>693.00000000000011</v>
      </c>
      <c r="X43" s="135">
        <f>X71*'B1. MASTER AGENT INPUTS'!$E$22*'B1. MASTER AGENT INPUTS'!$E$23*'B1. MASTER AGENT INPUTS'!$B$43</f>
        <v>718.20000000000016</v>
      </c>
      <c r="Y43" s="135">
        <f>Y71*'B1. MASTER AGENT INPUTS'!$E$22*'B1. MASTER AGENT INPUTS'!$E$23*'B1. MASTER AGENT INPUTS'!$B$43</f>
        <v>744.97500000000014</v>
      </c>
      <c r="Z43" s="135">
        <f>Z71*'B1. MASTER AGENT INPUTS'!$E$22*'B1. MASTER AGENT INPUTS'!$E$23*'B1. MASTER AGENT INPUTS'!$B$43</f>
        <v>771.75000000000011</v>
      </c>
      <c r="AA43" s="135">
        <f>AA71*'B1. MASTER AGENT INPUTS'!$E$22*'B1. MASTER AGENT INPUTS'!$E$23*'B1. MASTER AGENT INPUTS'!$B$43</f>
        <v>800.10000000000014</v>
      </c>
      <c r="AB43" s="135">
        <f>AB71*'B1. MASTER AGENT INPUTS'!$E$22*'B1. MASTER AGENT INPUTS'!$E$23*'B1. MASTER AGENT INPUTS'!$B$43</f>
        <v>828.45000000000016</v>
      </c>
      <c r="AC43" s="135">
        <f>AC71*'B1. MASTER AGENT INPUTS'!$E$22*'B1. MASTER AGENT INPUTS'!$E$23*'B1. MASTER AGENT INPUTS'!$B$43</f>
        <v>858.37500000000011</v>
      </c>
      <c r="AD43" s="135">
        <f>AD71*'B1. MASTER AGENT INPUTS'!$E$22*'B1. MASTER AGENT INPUTS'!$E$23*'B1. MASTER AGENT INPUTS'!$B$43</f>
        <v>889.87500000000011</v>
      </c>
      <c r="AE43" s="135">
        <f>AE71*'B1. MASTER AGENT INPUTS'!$E$22*'B1. MASTER AGENT INPUTS'!$E$23*'B1. MASTER AGENT INPUTS'!$B$43</f>
        <v>922.95000000000016</v>
      </c>
      <c r="AF43" s="135">
        <f>AF71*'B1. MASTER AGENT INPUTS'!$E$22*'B1. MASTER AGENT INPUTS'!$E$23*'B1. MASTER AGENT INPUTS'!$B$43</f>
        <v>956.02500000000009</v>
      </c>
      <c r="AG43" s="135">
        <f>AG71*'B1. MASTER AGENT INPUTS'!$E$22*'B1. MASTER AGENT INPUTS'!$E$23*'B1. MASTER AGENT INPUTS'!$B$43</f>
        <v>990.67500000000018</v>
      </c>
      <c r="AH43" s="135">
        <f>AH71*'B1. MASTER AGENT INPUTS'!$E$22*'B1. MASTER AGENT INPUTS'!$E$23*'B1. MASTER AGENT INPUTS'!$B$43</f>
        <v>1026.9000000000001</v>
      </c>
      <c r="AI43" s="135">
        <f>AI71*'B1. MASTER AGENT INPUTS'!$E$22*'B1. MASTER AGENT INPUTS'!$E$23*'B1. MASTER AGENT INPUTS'!$B$43</f>
        <v>1064.7</v>
      </c>
      <c r="AJ43" s="135">
        <f>AJ71*'B1. MASTER AGENT INPUTS'!$E$22*'B1. MASTER AGENT INPUTS'!$E$23*'B1. MASTER AGENT INPUTS'!$B$43</f>
        <v>1104.0750000000003</v>
      </c>
      <c r="AK43" s="135">
        <f>AK71*'B1. MASTER AGENT INPUTS'!$E$22*'B1. MASTER AGENT INPUTS'!$E$23*'B1. MASTER AGENT INPUTS'!$B$43</f>
        <v>1143.4500000000003</v>
      </c>
    </row>
    <row r="44" spans="1:37" s="134" customFormat="1" ht="14" customHeight="1" outlineLevel="1">
      <c r="A44" s="381" t="s">
        <v>277</v>
      </c>
      <c r="B44" s="135">
        <f>B71*'B1. MASTER AGENT INPUTS'!$E$24*'B1. MASTER AGENT INPUTS'!$E$25*'B1. MASTER AGENT INPUTS'!$E$40</f>
        <v>1242.0000000000002</v>
      </c>
      <c r="C44" s="135">
        <f>C71*'B1. MASTER AGENT INPUTS'!$E$24*'B1. MASTER AGENT INPUTS'!$E$25*'B1. MASTER AGENT INPUTS'!$E$40</f>
        <v>1290.0000000000002</v>
      </c>
      <c r="D44" s="135">
        <f>D71*'B1. MASTER AGENT INPUTS'!$E$24*'B1. MASTER AGENT INPUTS'!$E$25*'B1. MASTER AGENT INPUTS'!$E$40</f>
        <v>1338.0000000000002</v>
      </c>
      <c r="E44" s="135">
        <f>E71*'B1. MASTER AGENT INPUTS'!$E$24*'B1. MASTER AGENT INPUTS'!$E$25*'B1. MASTER AGENT INPUTS'!$E$40</f>
        <v>1386.0000000000002</v>
      </c>
      <c r="F44" s="135">
        <f>F71*'B1. MASTER AGENT INPUTS'!$E$24*'B1. MASTER AGENT INPUTS'!$E$25*'B1. MASTER AGENT INPUTS'!$E$40</f>
        <v>1434.0000000000002</v>
      </c>
      <c r="G44" s="135">
        <f>G71*'B1. MASTER AGENT INPUTS'!$E$24*'B1. MASTER AGENT INPUTS'!$E$25*'B1. MASTER AGENT INPUTS'!$E$40</f>
        <v>1488.0000000000002</v>
      </c>
      <c r="H44" s="135">
        <f>H71*'B1. MASTER AGENT INPUTS'!$E$24*'B1. MASTER AGENT INPUTS'!$E$25*'B1. MASTER AGENT INPUTS'!$E$40</f>
        <v>1542.0000000000002</v>
      </c>
      <c r="I44" s="135">
        <f>I71*'B1. MASTER AGENT INPUTS'!$E$24*'B1. MASTER AGENT INPUTS'!$E$25*'B1. MASTER AGENT INPUTS'!$E$40</f>
        <v>1602.0000000000002</v>
      </c>
      <c r="J44" s="135">
        <f>J71*'B1. MASTER AGENT INPUTS'!$E$24*'B1. MASTER AGENT INPUTS'!$E$25*'B1. MASTER AGENT INPUTS'!$E$40</f>
        <v>1656.0000000000002</v>
      </c>
      <c r="K44" s="135">
        <f>K71*'B1. MASTER AGENT INPUTS'!$E$24*'B1. MASTER AGENT INPUTS'!$E$25*'B1. MASTER AGENT INPUTS'!$E$40</f>
        <v>1716.0000000000002</v>
      </c>
      <c r="L44" s="135">
        <f>L71*'B1. MASTER AGENT INPUTS'!$E$24*'B1. MASTER AGENT INPUTS'!$E$25*'B1. MASTER AGENT INPUTS'!$E$40</f>
        <v>1782.0000000000005</v>
      </c>
      <c r="M44" s="135">
        <f>M71*'B1. MASTER AGENT INPUTS'!$E$24*'B1. MASTER AGENT INPUTS'!$E$25*'B1. MASTER AGENT INPUTS'!$E$40</f>
        <v>1848.0000000000005</v>
      </c>
      <c r="N44" s="135">
        <f>N71*'B1. MASTER AGENT INPUTS'!$E$24*'B1. MASTER AGENT INPUTS'!$E$25*'B1. MASTER AGENT INPUTS'!$E$40</f>
        <v>1914.0000000000005</v>
      </c>
      <c r="O44" s="135">
        <f>O71*'B1. MASTER AGENT INPUTS'!$E$24*'B1. MASTER AGENT INPUTS'!$E$25*'B1. MASTER AGENT INPUTS'!$E$40</f>
        <v>1980.0000000000005</v>
      </c>
      <c r="P44" s="135">
        <f>P71*'B1. MASTER AGENT INPUTS'!$E$24*'B1. MASTER AGENT INPUTS'!$E$25*'B1. MASTER AGENT INPUTS'!$E$40</f>
        <v>2052.0000000000005</v>
      </c>
      <c r="Q44" s="135">
        <f>Q71*'B1. MASTER AGENT INPUTS'!$E$24*'B1. MASTER AGENT INPUTS'!$E$25*'B1. MASTER AGENT INPUTS'!$E$40</f>
        <v>2130.0000000000005</v>
      </c>
      <c r="R44" s="135">
        <f>R71*'B1. MASTER AGENT INPUTS'!$E$24*'B1. MASTER AGENT INPUTS'!$E$25*'B1. MASTER AGENT INPUTS'!$E$40</f>
        <v>2208.0000000000005</v>
      </c>
      <c r="S44" s="135">
        <f>S71*'B1. MASTER AGENT INPUTS'!$E$24*'B1. MASTER AGENT INPUTS'!$E$25*'B1. MASTER AGENT INPUTS'!$E$40</f>
        <v>2286.0000000000005</v>
      </c>
      <c r="T44" s="135">
        <f>T71*'B1. MASTER AGENT INPUTS'!$E$24*'B1. MASTER AGENT INPUTS'!$E$25*'B1. MASTER AGENT INPUTS'!$E$40</f>
        <v>2370.0000000000005</v>
      </c>
      <c r="U44" s="135">
        <f>U71*'B1. MASTER AGENT INPUTS'!$E$24*'B1. MASTER AGENT INPUTS'!$E$25*'B1. MASTER AGENT INPUTS'!$E$40</f>
        <v>2460.0000000000005</v>
      </c>
      <c r="V44" s="135">
        <f>V71*'B1. MASTER AGENT INPUTS'!$E$24*'B1. MASTER AGENT INPUTS'!$E$25*'B1. MASTER AGENT INPUTS'!$E$40</f>
        <v>2544.0000000000005</v>
      </c>
      <c r="W44" s="135">
        <f>W71*'B1. MASTER AGENT INPUTS'!$E$24*'B1. MASTER AGENT INPUTS'!$E$25*'B1. MASTER AGENT INPUTS'!$E$40</f>
        <v>2640.0000000000005</v>
      </c>
      <c r="X44" s="135">
        <f>X71*'B1. MASTER AGENT INPUTS'!$E$24*'B1. MASTER AGENT INPUTS'!$E$25*'B1. MASTER AGENT INPUTS'!$E$40</f>
        <v>2736.0000000000005</v>
      </c>
      <c r="Y44" s="135">
        <f>Y71*'B1. MASTER AGENT INPUTS'!$E$24*'B1. MASTER AGENT INPUTS'!$E$25*'B1. MASTER AGENT INPUTS'!$E$40</f>
        <v>2838.0000000000005</v>
      </c>
      <c r="Z44" s="135">
        <f>Z71*'B1. MASTER AGENT INPUTS'!$E$24*'B1. MASTER AGENT INPUTS'!$E$25*'B1. MASTER AGENT INPUTS'!$E$40</f>
        <v>2940.0000000000005</v>
      </c>
      <c r="AA44" s="135">
        <f>AA71*'B1. MASTER AGENT INPUTS'!$E$24*'B1. MASTER AGENT INPUTS'!$E$25*'B1. MASTER AGENT INPUTS'!$E$40</f>
        <v>3048.0000000000005</v>
      </c>
      <c r="AB44" s="135">
        <f>AB71*'B1. MASTER AGENT INPUTS'!$E$24*'B1. MASTER AGENT INPUTS'!$E$25*'B1. MASTER AGENT INPUTS'!$E$40</f>
        <v>3156.0000000000005</v>
      </c>
      <c r="AC44" s="135">
        <f>AC71*'B1. MASTER AGENT INPUTS'!$E$24*'B1. MASTER AGENT INPUTS'!$E$25*'B1. MASTER AGENT INPUTS'!$E$40</f>
        <v>3270.0000000000005</v>
      </c>
      <c r="AD44" s="135">
        <f>AD71*'B1. MASTER AGENT INPUTS'!$E$24*'B1. MASTER AGENT INPUTS'!$E$25*'B1. MASTER AGENT INPUTS'!$E$40</f>
        <v>3390.0000000000005</v>
      </c>
      <c r="AE44" s="135">
        <f>AE71*'B1. MASTER AGENT INPUTS'!$E$24*'B1. MASTER AGENT INPUTS'!$E$25*'B1. MASTER AGENT INPUTS'!$E$40</f>
        <v>3516.0000000000009</v>
      </c>
      <c r="AF44" s="135">
        <f>AF71*'B1. MASTER AGENT INPUTS'!$E$24*'B1. MASTER AGENT INPUTS'!$E$25*'B1. MASTER AGENT INPUTS'!$E$40</f>
        <v>3642.0000000000009</v>
      </c>
      <c r="AG44" s="135">
        <f>AG71*'B1. MASTER AGENT INPUTS'!$E$24*'B1. MASTER AGENT INPUTS'!$E$25*'B1. MASTER AGENT INPUTS'!$E$40</f>
        <v>3774.0000000000009</v>
      </c>
      <c r="AH44" s="135">
        <f>AH71*'B1. MASTER AGENT INPUTS'!$E$24*'B1. MASTER AGENT INPUTS'!$E$25*'B1. MASTER AGENT INPUTS'!$E$40</f>
        <v>3912.0000000000009</v>
      </c>
      <c r="AI44" s="135">
        <f>AI71*'B1. MASTER AGENT INPUTS'!$E$24*'B1. MASTER AGENT INPUTS'!$E$25*'B1. MASTER AGENT INPUTS'!$E$40</f>
        <v>4056.0000000000009</v>
      </c>
      <c r="AJ44" s="135">
        <f>AJ71*'B1. MASTER AGENT INPUTS'!$E$24*'B1. MASTER AGENT INPUTS'!$E$25*'B1. MASTER AGENT INPUTS'!$E$40</f>
        <v>4206.0000000000009</v>
      </c>
      <c r="AK44" s="135">
        <f>AK71*'B1. MASTER AGENT INPUTS'!$E$24*'B1. MASTER AGENT INPUTS'!$E$25*'B1. MASTER AGENT INPUTS'!$E$40</f>
        <v>4356.0000000000009</v>
      </c>
    </row>
    <row r="45" spans="1:37" s="134" customFormat="1" ht="14" customHeight="1" outlineLevel="1">
      <c r="A45" s="381" t="s">
        <v>353</v>
      </c>
      <c r="B45" s="135">
        <f>B71*'B1. MASTER AGENT INPUTS'!$B$25</f>
        <v>0</v>
      </c>
      <c r="C45" s="135">
        <f>C71*'B1. MASTER AGENT INPUTS'!$B$25</f>
        <v>0</v>
      </c>
      <c r="D45" s="135">
        <f>D71*'B1. MASTER AGENT INPUTS'!$B$25</f>
        <v>0</v>
      </c>
      <c r="E45" s="135">
        <f>E71*'B1. MASTER AGENT INPUTS'!$B$25</f>
        <v>0</v>
      </c>
      <c r="F45" s="135">
        <f>F71*'B1. MASTER AGENT INPUTS'!$B$25</f>
        <v>0</v>
      </c>
      <c r="G45" s="135">
        <f>G71*'B1. MASTER AGENT INPUTS'!$B$25</f>
        <v>0</v>
      </c>
      <c r="H45" s="135">
        <f>H71*'B1. MASTER AGENT INPUTS'!$B$25</f>
        <v>0</v>
      </c>
      <c r="I45" s="135">
        <f>I71*'B1. MASTER AGENT INPUTS'!$B$25</f>
        <v>0</v>
      </c>
      <c r="J45" s="135">
        <f>J71*'B1. MASTER AGENT INPUTS'!$B$25</f>
        <v>0</v>
      </c>
      <c r="K45" s="135">
        <f>K71*'B1. MASTER AGENT INPUTS'!$B$25</f>
        <v>0</v>
      </c>
      <c r="L45" s="135">
        <f>L71*'B1. MASTER AGENT INPUTS'!$B$25</f>
        <v>0</v>
      </c>
      <c r="M45" s="135">
        <f>M71*'B1. MASTER AGENT INPUTS'!$B$25</f>
        <v>0</v>
      </c>
      <c r="N45" s="135">
        <f>N71*'B1. MASTER AGENT INPUTS'!$B$25</f>
        <v>0</v>
      </c>
      <c r="O45" s="135">
        <f>O71*'B1. MASTER AGENT INPUTS'!$B$25</f>
        <v>0</v>
      </c>
      <c r="P45" s="135">
        <f>P71*'B1. MASTER AGENT INPUTS'!$B$25</f>
        <v>0</v>
      </c>
      <c r="Q45" s="135">
        <f>Q71*'B1. MASTER AGENT INPUTS'!$B$25</f>
        <v>0</v>
      </c>
      <c r="R45" s="135">
        <f>R71*'B1. MASTER AGENT INPUTS'!$B$25</f>
        <v>0</v>
      </c>
      <c r="S45" s="135">
        <f>S71*'B1. MASTER AGENT INPUTS'!$B$25</f>
        <v>0</v>
      </c>
      <c r="T45" s="135">
        <f>T71*'B1. MASTER AGENT INPUTS'!$B$25</f>
        <v>0</v>
      </c>
      <c r="U45" s="135">
        <f>U71*'B1. MASTER AGENT INPUTS'!$B$25</f>
        <v>0</v>
      </c>
      <c r="V45" s="135">
        <f>V71*'B1. MASTER AGENT INPUTS'!$B$25</f>
        <v>0</v>
      </c>
      <c r="W45" s="135">
        <f>W71*'B1. MASTER AGENT INPUTS'!$B$25</f>
        <v>0</v>
      </c>
      <c r="X45" s="135">
        <f>X71*'B1. MASTER AGENT INPUTS'!$B$25</f>
        <v>0</v>
      </c>
      <c r="Y45" s="135">
        <f>Y71*'B1. MASTER AGENT INPUTS'!$B$25</f>
        <v>0</v>
      </c>
      <c r="Z45" s="135">
        <f>Z71*'B1. MASTER AGENT INPUTS'!$B$25</f>
        <v>0</v>
      </c>
      <c r="AA45" s="135">
        <f>AA71*'B1. MASTER AGENT INPUTS'!$B$25</f>
        <v>0</v>
      </c>
      <c r="AB45" s="135">
        <f>AB71*'B1. MASTER AGENT INPUTS'!$B$25</f>
        <v>0</v>
      </c>
      <c r="AC45" s="135">
        <f>AC71*'B1. MASTER AGENT INPUTS'!$B$25</f>
        <v>0</v>
      </c>
      <c r="AD45" s="135">
        <f>AD71*'B1. MASTER AGENT INPUTS'!$B$25</f>
        <v>0</v>
      </c>
      <c r="AE45" s="135">
        <f>AE71*'B1. MASTER AGENT INPUTS'!$B$25</f>
        <v>0</v>
      </c>
      <c r="AF45" s="135">
        <f>AF71*'B1. MASTER AGENT INPUTS'!$B$25</f>
        <v>0</v>
      </c>
      <c r="AG45" s="135">
        <f>AG71*'B1. MASTER AGENT INPUTS'!$B$25</f>
        <v>0</v>
      </c>
      <c r="AH45" s="135">
        <f>AH71*'B1. MASTER AGENT INPUTS'!$B$25</f>
        <v>0</v>
      </c>
      <c r="AI45" s="135">
        <f>AI71*'B1. MASTER AGENT INPUTS'!$B$25</f>
        <v>0</v>
      </c>
      <c r="AJ45" s="135">
        <f>AJ71*'B1. MASTER AGENT INPUTS'!$B$25</f>
        <v>0</v>
      </c>
      <c r="AK45" s="135">
        <f>AK71*'B1. MASTER AGENT INPUTS'!$B$25</f>
        <v>0</v>
      </c>
    </row>
    <row r="46" spans="1:37" s="400" customFormat="1" ht="14" customHeight="1">
      <c r="A46" s="399" t="s">
        <v>266</v>
      </c>
      <c r="B46" s="397">
        <f>SUM(B39:B45)</f>
        <v>4987.665</v>
      </c>
      <c r="C46" s="397">
        <f t="shared" ref="C46:AK46" si="11">SUM(C39:C45)</f>
        <v>3110.4250000000002</v>
      </c>
      <c r="D46" s="397">
        <f t="shared" si="11"/>
        <v>3223.1850000000004</v>
      </c>
      <c r="E46" s="397">
        <f t="shared" si="11"/>
        <v>3335.9450000000002</v>
      </c>
      <c r="F46" s="397">
        <f t="shared" si="11"/>
        <v>3448.7049999999999</v>
      </c>
      <c r="G46" s="397">
        <f t="shared" si="11"/>
        <v>3585.5600000000004</v>
      </c>
      <c r="H46" s="397">
        <f t="shared" si="11"/>
        <v>3712.415</v>
      </c>
      <c r="I46" s="397">
        <f t="shared" si="11"/>
        <v>3863.3650000000007</v>
      </c>
      <c r="J46" s="397">
        <f t="shared" si="11"/>
        <v>3980.2200000000003</v>
      </c>
      <c r="K46" s="397">
        <f t="shared" si="11"/>
        <v>4131.17</v>
      </c>
      <c r="L46" s="397">
        <f t="shared" si="11"/>
        <v>4296.2150000000001</v>
      </c>
      <c r="M46" s="397">
        <f t="shared" si="11"/>
        <v>4451.26</v>
      </c>
      <c r="N46" s="397">
        <f t="shared" si="11"/>
        <v>4606.3050000000003</v>
      </c>
      <c r="O46" s="397">
        <f t="shared" si="11"/>
        <v>4761.3500000000004</v>
      </c>
      <c r="P46" s="397">
        <f t="shared" si="11"/>
        <v>4940.4900000000007</v>
      </c>
      <c r="Q46" s="397">
        <f t="shared" si="11"/>
        <v>5133.7250000000004</v>
      </c>
      <c r="R46" s="397">
        <f t="shared" si="11"/>
        <v>5316.9600000000009</v>
      </c>
      <c r="S46" s="397">
        <f t="shared" si="11"/>
        <v>5500.1949999999997</v>
      </c>
      <c r="T46" s="397">
        <f t="shared" si="11"/>
        <v>5707.5250000000005</v>
      </c>
      <c r="U46" s="397">
        <f t="shared" si="11"/>
        <v>5928.9500000000007</v>
      </c>
      <c r="V46" s="397">
        <f t="shared" si="11"/>
        <v>6116.2800000000007</v>
      </c>
      <c r="W46" s="397">
        <f t="shared" si="11"/>
        <v>6361.8000000000011</v>
      </c>
      <c r="X46" s="397">
        <f t="shared" si="11"/>
        <v>6587.3200000000006</v>
      </c>
      <c r="Y46" s="397">
        <f t="shared" si="11"/>
        <v>6836.9350000000013</v>
      </c>
      <c r="Z46" s="397">
        <f t="shared" si="11"/>
        <v>7076.5500000000011</v>
      </c>
      <c r="AA46" s="397">
        <f t="shared" si="11"/>
        <v>7340.26</v>
      </c>
      <c r="AB46" s="397">
        <f t="shared" si="11"/>
        <v>7593.9700000000012</v>
      </c>
      <c r="AC46" s="397">
        <f t="shared" si="11"/>
        <v>7871.7750000000015</v>
      </c>
      <c r="AD46" s="397">
        <f t="shared" si="11"/>
        <v>8163.6750000000011</v>
      </c>
      <c r="AE46" s="397">
        <f t="shared" si="11"/>
        <v>8469.6700000000019</v>
      </c>
      <c r="AF46" s="397">
        <f t="shared" si="11"/>
        <v>8765.6650000000009</v>
      </c>
      <c r="AG46" s="397">
        <f t="shared" si="11"/>
        <v>9085.755000000001</v>
      </c>
      <c r="AH46" s="397">
        <f t="shared" si="11"/>
        <v>9419.9400000000023</v>
      </c>
      <c r="AI46" s="397">
        <f t="shared" si="11"/>
        <v>9768.2200000000012</v>
      </c>
      <c r="AJ46" s="397">
        <f t="shared" si="11"/>
        <v>10130.595000000001</v>
      </c>
      <c r="AK46" s="397">
        <f t="shared" si="11"/>
        <v>10482.970000000001</v>
      </c>
    </row>
    <row r="47" spans="1:37" s="134" customFormat="1" ht="14" customHeight="1">
      <c r="A47" s="379"/>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row>
    <row r="48" spans="1:37" s="32" customFormat="1" ht="14" customHeight="1">
      <c r="A48" s="407" t="s">
        <v>140</v>
      </c>
      <c r="B48" s="402">
        <f>B46+B36</f>
        <v>748338.91500000004</v>
      </c>
      <c r="C48" s="402">
        <f t="shared" ref="C48:AK48" si="12">C46+C36</f>
        <v>775810.2456250001</v>
      </c>
      <c r="D48" s="402">
        <f t="shared" si="12"/>
        <v>804126.54907781258</v>
      </c>
      <c r="E48" s="402">
        <f t="shared" si="12"/>
        <v>833472.28186665254</v>
      </c>
      <c r="F48" s="402">
        <f t="shared" si="12"/>
        <v>863885.01816228556</v>
      </c>
      <c r="G48" s="402">
        <f t="shared" si="12"/>
        <v>895427.798592709</v>
      </c>
      <c r="H48" s="402">
        <f t="shared" si="12"/>
        <v>928106.89530134317</v>
      </c>
      <c r="I48" s="402">
        <f t="shared" si="12"/>
        <v>961998.24383234209</v>
      </c>
      <c r="J48" s="402">
        <f t="shared" si="12"/>
        <v>997087.02190972236</v>
      </c>
      <c r="K48" s="402">
        <f t="shared" si="12"/>
        <v>1033486.3701794273</v>
      </c>
      <c r="L48" s="402">
        <f t="shared" si="12"/>
        <v>1071222.8799859763</v>
      </c>
      <c r="M48" s="402">
        <f t="shared" si="12"/>
        <v>1110320.7482579644</v>
      </c>
      <c r="N48" s="402">
        <f t="shared" si="12"/>
        <v>1150840.0295793803</v>
      </c>
      <c r="O48" s="402">
        <f t="shared" si="12"/>
        <v>1192832.6055265279</v>
      </c>
      <c r="P48" s="402">
        <f t="shared" si="12"/>
        <v>1236376.3463532461</v>
      </c>
      <c r="Q48" s="402">
        <f t="shared" si="12"/>
        <v>1281516.9901101396</v>
      </c>
      <c r="R48" s="402">
        <f t="shared" si="12"/>
        <v>1328288.2142866594</v>
      </c>
      <c r="S48" s="402">
        <f t="shared" si="12"/>
        <v>1376759.9000681224</v>
      </c>
      <c r="T48" s="402">
        <f t="shared" si="12"/>
        <v>1427018.209303109</v>
      </c>
      <c r="U48" s="402">
        <f t="shared" si="12"/>
        <v>1479117.4742801723</v>
      </c>
      <c r="V48" s="402">
        <f t="shared" si="12"/>
        <v>1533076.1854163988</v>
      </c>
      <c r="W48" s="402">
        <f t="shared" si="12"/>
        <v>1589055.7419640978</v>
      </c>
      <c r="X48" s="402">
        <f t="shared" si="12"/>
        <v>1647049.5908457874</v>
      </c>
      <c r="Y48" s="402">
        <f t="shared" si="12"/>
        <v>1707176.0787316584</v>
      </c>
      <c r="Z48" s="402">
        <f t="shared" si="12"/>
        <v>1769478.0724778639</v>
      </c>
      <c r="AA48" s="402">
        <f t="shared" si="12"/>
        <v>1834069.4380483059</v>
      </c>
      <c r="AB48" s="402">
        <f t="shared" si="12"/>
        <v>1900998.7630470691</v>
      </c>
      <c r="AC48" s="402">
        <f t="shared" si="12"/>
        <v>1970385.8429932867</v>
      </c>
      <c r="AD48" s="402">
        <f t="shared" si="12"/>
        <v>2042309.5064750419</v>
      </c>
      <c r="AE48" s="402">
        <f t="shared" si="12"/>
        <v>2116861.8243238814</v>
      </c>
      <c r="AF48" s="402">
        <f t="shared" si="12"/>
        <v>2194114.1329567018</v>
      </c>
      <c r="AG48" s="402">
        <f t="shared" si="12"/>
        <v>2274199.4420371219</v>
      </c>
      <c r="AH48" s="402">
        <f t="shared" si="12"/>
        <v>2357210.2766139768</v>
      </c>
      <c r="AI48" s="402">
        <f t="shared" si="12"/>
        <v>2443252.9039003872</v>
      </c>
      <c r="AJ48" s="402">
        <f t="shared" si="12"/>
        <v>2532437.4698627512</v>
      </c>
      <c r="AK48" s="402">
        <f t="shared" si="12"/>
        <v>2624854.0457952409</v>
      </c>
    </row>
    <row r="49" spans="1:37" s="32" customFormat="1" ht="14" customHeight="1">
      <c r="A49" s="378"/>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row>
    <row r="50" spans="1:37" s="5" customFormat="1" ht="14" customHeight="1" thickBot="1">
      <c r="A50" s="307" t="s">
        <v>381</v>
      </c>
      <c r="B50" s="299"/>
      <c r="C50" s="300"/>
      <c r="D50" s="300"/>
      <c r="E50" s="300"/>
      <c r="F50" s="300"/>
      <c r="G50" s="300"/>
      <c r="H50" s="301"/>
      <c r="I50" s="302"/>
      <c r="J50" s="303"/>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row>
    <row r="51" spans="1:37" s="5" customFormat="1" ht="14" customHeight="1">
      <c r="A51" s="294" t="s">
        <v>198</v>
      </c>
      <c r="B51" s="329"/>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row>
    <row r="52" spans="1:37" s="5" customFormat="1" ht="14" customHeight="1" outlineLevel="1">
      <c r="A52" s="270" t="s">
        <v>40</v>
      </c>
      <c r="B52" s="16">
        <f>B15*'A1. BASE MODEL INPUTS'!$B$20*(1-'B1. MASTER AGENT INPUTS'!$B$31)</f>
        <v>15395.625</v>
      </c>
      <c r="C52" s="16">
        <f>C15*'A1. BASE MODEL INPUTS'!$B$20*(1-'B1. MASTER AGENT INPUTS'!$B$31)</f>
        <v>15957.565312499997</v>
      </c>
      <c r="D52" s="16">
        <f>D15*'A1. BASE MODEL INPUTS'!$B$20*(1-'B1. MASTER AGENT INPUTS'!$B$31)</f>
        <v>16540.016446406251</v>
      </c>
      <c r="E52" s="16">
        <f>E15*'A1. BASE MODEL INPUTS'!$B$20*(1-'B1. MASTER AGENT INPUTS'!$B$31)</f>
        <v>17143.727046700078</v>
      </c>
      <c r="F52" s="16">
        <f>F15*'A1. BASE MODEL INPUTS'!$B$20*(1-'B1. MASTER AGENT INPUTS'!$B$31)</f>
        <v>17769.473083904631</v>
      </c>
      <c r="G52" s="16">
        <f>G15*'A1. BASE MODEL INPUTS'!$B$20*(1-'B1. MASTER AGENT INPUTS'!$B$31)</f>
        <v>18418.058851467147</v>
      </c>
      <c r="H52" s="16">
        <f>H15*'A1. BASE MODEL INPUTS'!$B$20*(1-'B1. MASTER AGENT INPUTS'!$B$31)</f>
        <v>19090.317999545703</v>
      </c>
      <c r="I52" s="16">
        <f>I15*'A1. BASE MODEL INPUTS'!$B$20*(1-'B1. MASTER AGENT INPUTS'!$B$31)</f>
        <v>19787.114606529125</v>
      </c>
      <c r="J52" s="16">
        <f>J15*'A1. BASE MODEL INPUTS'!$B$20*(1-'B1. MASTER AGENT INPUTS'!$B$31)</f>
        <v>20509.344289667431</v>
      </c>
      <c r="K52" s="16">
        <f>K15*'A1. BASE MODEL INPUTS'!$B$20*(1-'B1. MASTER AGENT INPUTS'!$B$31)</f>
        <v>21257.935356240294</v>
      </c>
      <c r="L52" s="16">
        <f>L15*'A1. BASE MODEL INPUTS'!$B$20*(1-'B1. MASTER AGENT INPUTS'!$B$31)</f>
        <v>22033.849996743062</v>
      </c>
      <c r="M52" s="16">
        <f>M15*'A1. BASE MODEL INPUTS'!$B$20*(1-'B1. MASTER AGENT INPUTS'!$B$31)</f>
        <v>22838.085521624187</v>
      </c>
      <c r="N52" s="16">
        <f>N15*'A1. BASE MODEL INPUTS'!$B$20*(1-'B1. MASTER AGENT INPUTS'!$B$31)</f>
        <v>23671.675643163471</v>
      </c>
      <c r="O52" s="16">
        <f>O15*'A1. BASE MODEL INPUTS'!$B$20*(1-'B1. MASTER AGENT INPUTS'!$B$31)</f>
        <v>24535.691804138933</v>
      </c>
      <c r="P52" s="16">
        <f>P15*'A1. BASE MODEL INPUTS'!$B$20*(1-'B1. MASTER AGENT INPUTS'!$B$31)</f>
        <v>25431.244554990011</v>
      </c>
      <c r="Q52" s="16">
        <f>Q15*'A1. BASE MODEL INPUTS'!$B$20*(1-'B1. MASTER AGENT INPUTS'!$B$31)</f>
        <v>26359.484981247144</v>
      </c>
      <c r="R52" s="16">
        <f>R15*'A1. BASE MODEL INPUTS'!$B$20*(1-'B1. MASTER AGENT INPUTS'!$B$31)</f>
        <v>27321.606183062668</v>
      </c>
      <c r="S52" s="16">
        <f>S15*'A1. BASE MODEL INPUTS'!$B$20*(1-'B1. MASTER AGENT INPUTS'!$B$31)</f>
        <v>28318.844808744452</v>
      </c>
      <c r="T52" s="16">
        <f>T15*'A1. BASE MODEL INPUTS'!$B$20*(1-'B1. MASTER AGENT INPUTS'!$B$31)</f>
        <v>29352.482644263622</v>
      </c>
      <c r="U52" s="16">
        <f>U15*'A1. BASE MODEL INPUTS'!$B$20*(1-'B1. MASTER AGENT INPUTS'!$B$31)</f>
        <v>30423.848260779247</v>
      </c>
      <c r="V52" s="16">
        <f>V15*'A1. BASE MODEL INPUTS'!$B$20*(1-'B1. MASTER AGENT INPUTS'!$B$31)</f>
        <v>31534.318722297689</v>
      </c>
      <c r="W52" s="16">
        <f>W15*'A1. BASE MODEL INPUTS'!$B$20*(1-'B1. MASTER AGENT INPUTS'!$B$31)</f>
        <v>32685.321355661559</v>
      </c>
      <c r="X52" s="16">
        <f>X15*'A1. BASE MODEL INPUTS'!$B$20*(1-'B1. MASTER AGENT INPUTS'!$B$31)</f>
        <v>33878.335585143206</v>
      </c>
      <c r="Y52" s="16">
        <f>Y15*'A1. BASE MODEL INPUTS'!$B$20*(1-'B1. MASTER AGENT INPUTS'!$B$31)</f>
        <v>35114.89483400093</v>
      </c>
      <c r="Z52" s="16">
        <f>Z15*'A1. BASE MODEL INPUTS'!$B$20*(1-'B1. MASTER AGENT INPUTS'!$B$31)</f>
        <v>36396.588495441967</v>
      </c>
      <c r="AA52" s="16">
        <f>AA15*'A1. BASE MODEL INPUTS'!$B$20*(1-'B1. MASTER AGENT INPUTS'!$B$31)</f>
        <v>37725.063975525598</v>
      </c>
      <c r="AB52" s="16">
        <f>AB15*'A1. BASE MODEL INPUTS'!$B$20*(1-'B1. MASTER AGENT INPUTS'!$B$31)</f>
        <v>39102.028810632284</v>
      </c>
      <c r="AC52" s="16">
        <f>AC15*'A1. BASE MODEL INPUTS'!$B$20*(1-'B1. MASTER AGENT INPUTS'!$B$31)</f>
        <v>40529.252862220361</v>
      </c>
      <c r="AD52" s="16">
        <f>AD15*'A1. BASE MODEL INPUTS'!$B$20*(1-'B1. MASTER AGENT INPUTS'!$B$31)</f>
        <v>42008.570591691401</v>
      </c>
      <c r="AE52" s="16">
        <f>AE15*'A1. BASE MODEL INPUTS'!$B$20*(1-'B1. MASTER AGENT INPUTS'!$B$31)</f>
        <v>43541.883418288133</v>
      </c>
      <c r="AF52" s="16">
        <f>AF15*'A1. BASE MODEL INPUTS'!$B$20*(1-'B1. MASTER AGENT INPUTS'!$B$31)</f>
        <v>45131.162163055655</v>
      </c>
      <c r="AG52" s="16">
        <f>AG15*'A1. BASE MODEL INPUTS'!$B$20*(1-'B1. MASTER AGENT INPUTS'!$B$31)</f>
        <v>46778.449582007182</v>
      </c>
      <c r="AH52" s="16">
        <f>AH15*'A1. BASE MODEL INPUTS'!$B$20*(1-'B1. MASTER AGENT INPUTS'!$B$31)</f>
        <v>48485.862991750444</v>
      </c>
      <c r="AI52" s="16">
        <f>AI15*'A1. BASE MODEL INPUTS'!$B$20*(1-'B1. MASTER AGENT INPUTS'!$B$31)</f>
        <v>50255.596990949329</v>
      </c>
      <c r="AJ52" s="16">
        <f>AJ15*'A1. BASE MODEL INPUTS'!$B$20*(1-'B1. MASTER AGENT INPUTS'!$B$31)</f>
        <v>52089.926281118969</v>
      </c>
      <c r="AK52" s="16">
        <f>AK15*'A1. BASE MODEL INPUTS'!$B$20*(1-'B1. MASTER AGENT INPUTS'!$B$31)</f>
        <v>53991.208590379814</v>
      </c>
    </row>
    <row r="53" spans="1:37" s="5" customFormat="1" ht="14" customHeight="1" outlineLevel="1">
      <c r="A53" s="270" t="s">
        <v>41</v>
      </c>
      <c r="B53" s="17">
        <f>B52*'A1. BASE MODEL INPUTS'!$B$21*(1-'B1. MASTER AGENT INPUTS'!$B$32)</f>
        <v>3464.015625</v>
      </c>
      <c r="C53" s="17">
        <f>C52*'A1. BASE MODEL INPUTS'!$B$21*(1-'B1. MASTER AGENT INPUTS'!$B$32)</f>
        <v>3590.4521953124995</v>
      </c>
      <c r="D53" s="17">
        <f>D52*'A1. BASE MODEL INPUTS'!$B$21*(1-'B1. MASTER AGENT INPUTS'!$B$32)</f>
        <v>3721.5037004414062</v>
      </c>
      <c r="E53" s="17">
        <f>E52*'A1. BASE MODEL INPUTS'!$B$21*(1-'B1. MASTER AGENT INPUTS'!$B$32)</f>
        <v>3857.3385855075176</v>
      </c>
      <c r="F53" s="17">
        <f>F52*'A1. BASE MODEL INPUTS'!$B$21*(1-'B1. MASTER AGENT INPUTS'!$B$32)</f>
        <v>3998.1314438785421</v>
      </c>
      <c r="G53" s="17">
        <f>G52*'A1. BASE MODEL INPUTS'!$B$21*(1-'B1. MASTER AGENT INPUTS'!$B$32)</f>
        <v>4144.0632415801083</v>
      </c>
      <c r="H53" s="17">
        <f>H52*'A1. BASE MODEL INPUTS'!$B$21*(1-'B1. MASTER AGENT INPUTS'!$B$32)</f>
        <v>4295.3215498977825</v>
      </c>
      <c r="I53" s="17">
        <f>I52*'A1. BASE MODEL INPUTS'!$B$21*(1-'B1. MASTER AGENT INPUTS'!$B$32)</f>
        <v>4452.1007864690528</v>
      </c>
      <c r="J53" s="17">
        <f>J52*'A1. BASE MODEL INPUTS'!$B$21*(1-'B1. MASTER AGENT INPUTS'!$B$32)</f>
        <v>4614.6024651751723</v>
      </c>
      <c r="K53" s="17">
        <f>K52*'A1. BASE MODEL INPUTS'!$B$21*(1-'B1. MASTER AGENT INPUTS'!$B$32)</f>
        <v>4783.0354551540659</v>
      </c>
      <c r="L53" s="17">
        <f>L52*'A1. BASE MODEL INPUTS'!$B$21*(1-'B1. MASTER AGENT INPUTS'!$B$32)</f>
        <v>4957.6162492671892</v>
      </c>
      <c r="M53" s="17">
        <f>M52*'A1. BASE MODEL INPUTS'!$B$21*(1-'B1. MASTER AGENT INPUTS'!$B$32)</f>
        <v>5138.5692423654418</v>
      </c>
      <c r="N53" s="17">
        <f>N52*'A1. BASE MODEL INPUTS'!$B$21*(1-'B1. MASTER AGENT INPUTS'!$B$32)</f>
        <v>5326.127019711781</v>
      </c>
      <c r="O53" s="17">
        <f>O52*'A1. BASE MODEL INPUTS'!$B$21*(1-'B1. MASTER AGENT INPUTS'!$B$32)</f>
        <v>5520.5306559312594</v>
      </c>
      <c r="P53" s="17">
        <f>P52*'A1. BASE MODEL INPUTS'!$B$21*(1-'B1. MASTER AGENT INPUTS'!$B$32)</f>
        <v>5722.0300248727526</v>
      </c>
      <c r="Q53" s="17">
        <f>Q52*'A1. BASE MODEL INPUTS'!$B$21*(1-'B1. MASTER AGENT INPUTS'!$B$32)</f>
        <v>5930.8841207806072</v>
      </c>
      <c r="R53" s="17">
        <f>R52*'A1. BASE MODEL INPUTS'!$B$21*(1-'B1. MASTER AGENT INPUTS'!$B$32)</f>
        <v>6147.3613911891007</v>
      </c>
      <c r="S53" s="17">
        <f>S52*'A1. BASE MODEL INPUTS'!$B$21*(1-'B1. MASTER AGENT INPUTS'!$B$32)</f>
        <v>6371.7400819675022</v>
      </c>
      <c r="T53" s="17">
        <f>T52*'A1. BASE MODEL INPUTS'!$B$21*(1-'B1. MASTER AGENT INPUTS'!$B$32)</f>
        <v>6604.3085949593142</v>
      </c>
      <c r="U53" s="17">
        <f>U52*'A1. BASE MODEL INPUTS'!$B$21*(1-'B1. MASTER AGENT INPUTS'!$B$32)</f>
        <v>6845.3658586753299</v>
      </c>
      <c r="V53" s="17">
        <f>V52*'A1. BASE MODEL INPUTS'!$B$21*(1-'B1. MASTER AGENT INPUTS'!$B$32)</f>
        <v>7095.2217125169791</v>
      </c>
      <c r="W53" s="17">
        <f>W52*'A1. BASE MODEL INPUTS'!$B$21*(1-'B1. MASTER AGENT INPUTS'!$B$32)</f>
        <v>7354.1973050238503</v>
      </c>
      <c r="X53" s="17">
        <f>X52*'A1. BASE MODEL INPUTS'!$B$21*(1-'B1. MASTER AGENT INPUTS'!$B$32)</f>
        <v>7622.6255066572212</v>
      </c>
      <c r="Y53" s="17">
        <f>Y52*'A1. BASE MODEL INPUTS'!$B$21*(1-'B1. MASTER AGENT INPUTS'!$B$32)</f>
        <v>7900.8513376502087</v>
      </c>
      <c r="Z53" s="17">
        <f>Z52*'A1. BASE MODEL INPUTS'!$B$21*(1-'B1. MASTER AGENT INPUTS'!$B$32)</f>
        <v>8189.2324114744424</v>
      </c>
      <c r="AA53" s="17">
        <f>AA52*'A1. BASE MODEL INPUTS'!$B$21*(1-'B1. MASTER AGENT INPUTS'!$B$32)</f>
        <v>8488.1393944932588</v>
      </c>
      <c r="AB53" s="17">
        <f>AB52*'A1. BASE MODEL INPUTS'!$B$21*(1-'B1. MASTER AGENT INPUTS'!$B$32)</f>
        <v>8797.9564823922647</v>
      </c>
      <c r="AC53" s="17">
        <f>AC52*'A1. BASE MODEL INPUTS'!$B$21*(1-'B1. MASTER AGENT INPUTS'!$B$32)</f>
        <v>9119.0818939995806</v>
      </c>
      <c r="AD53" s="17">
        <f>AD52*'A1. BASE MODEL INPUTS'!$B$21*(1-'B1. MASTER AGENT INPUTS'!$B$32)</f>
        <v>9451.9283831305656</v>
      </c>
      <c r="AE53" s="17">
        <f>AE52*'A1. BASE MODEL INPUTS'!$B$21*(1-'B1. MASTER AGENT INPUTS'!$B$32)</f>
        <v>9796.9237691148301</v>
      </c>
      <c r="AF53" s="17">
        <f>AF52*'A1. BASE MODEL INPUTS'!$B$21*(1-'B1. MASTER AGENT INPUTS'!$B$32)</f>
        <v>10154.511486687521</v>
      </c>
      <c r="AG53" s="17">
        <f>AG52*'A1. BASE MODEL INPUTS'!$B$21*(1-'B1. MASTER AGENT INPUTS'!$B$32)</f>
        <v>10525.151155951615</v>
      </c>
      <c r="AH53" s="17">
        <f>AH52*'A1. BASE MODEL INPUTS'!$B$21*(1-'B1. MASTER AGENT INPUTS'!$B$32)</f>
        <v>10909.319173143849</v>
      </c>
      <c r="AI53" s="17">
        <f>AI52*'A1. BASE MODEL INPUTS'!$B$21*(1-'B1. MASTER AGENT INPUTS'!$B$32)</f>
        <v>11307.509322963599</v>
      </c>
      <c r="AJ53" s="17">
        <f>AJ52*'A1. BASE MODEL INPUTS'!$B$21*(1-'B1. MASTER AGENT INPUTS'!$B$32)</f>
        <v>11720.233413251768</v>
      </c>
      <c r="AK53" s="17">
        <f>AK52*'A1. BASE MODEL INPUTS'!$B$21*(1-'B1. MASTER AGENT INPUTS'!$B$32)</f>
        <v>12148.021932835458</v>
      </c>
    </row>
    <row r="54" spans="1:37" s="5" customFormat="1" ht="14" customHeight="1" outlineLevel="1">
      <c r="A54" s="270" t="s">
        <v>43</v>
      </c>
      <c r="B54" s="34">
        <f>B53/'A1. BASE MODEL INPUTS'!$B$22</f>
        <v>6.9280312500000001</v>
      </c>
      <c r="C54" s="34">
        <f>C53/'A1. BASE MODEL INPUTS'!$B$22</f>
        <v>7.180904390624999</v>
      </c>
      <c r="D54" s="34">
        <f>D53/'A1. BASE MODEL INPUTS'!$B$22</f>
        <v>7.443007400882812</v>
      </c>
      <c r="E54" s="34">
        <f>E53/'A1. BASE MODEL INPUTS'!$B$22</f>
        <v>7.714677171015035</v>
      </c>
      <c r="F54" s="34">
        <f>F53/'A1. BASE MODEL INPUTS'!$B$22</f>
        <v>7.9962628877570845</v>
      </c>
      <c r="G54" s="34">
        <f>G53/'A1. BASE MODEL INPUTS'!$B$22</f>
        <v>8.2881264831602159</v>
      </c>
      <c r="H54" s="34">
        <f>H53/'A1. BASE MODEL INPUTS'!$B$22</f>
        <v>8.5906430997955656</v>
      </c>
      <c r="I54" s="34">
        <f>I53/'A1. BASE MODEL INPUTS'!$B$22</f>
        <v>8.9042015729381063</v>
      </c>
      <c r="J54" s="34">
        <f>J53/'A1. BASE MODEL INPUTS'!$B$22</f>
        <v>9.2292049303503454</v>
      </c>
      <c r="K54" s="34">
        <f>K53/'A1. BASE MODEL INPUTS'!$B$22</f>
        <v>9.5660709103081309</v>
      </c>
      <c r="L54" s="34">
        <f>L53/'A1. BASE MODEL INPUTS'!$B$22</f>
        <v>9.9152324985343778</v>
      </c>
      <c r="M54" s="34">
        <f>M53/'A1. BASE MODEL INPUTS'!$B$22</f>
        <v>10.277138484730884</v>
      </c>
      <c r="N54" s="34">
        <f>N53/'A1. BASE MODEL INPUTS'!$B$22</f>
        <v>10.652254039423562</v>
      </c>
      <c r="O54" s="34">
        <f>O53/'A1. BASE MODEL INPUTS'!$B$22</f>
        <v>11.041061311862519</v>
      </c>
      <c r="P54" s="34">
        <f>P53/'A1. BASE MODEL INPUTS'!$B$22</f>
        <v>11.444060049745506</v>
      </c>
      <c r="Q54" s="34">
        <f>Q53/'A1. BASE MODEL INPUTS'!$B$22</f>
        <v>11.861768241561215</v>
      </c>
      <c r="R54" s="34">
        <f>R53/'A1. BASE MODEL INPUTS'!$B$22</f>
        <v>12.294722782378201</v>
      </c>
      <c r="S54" s="34">
        <f>S53/'A1. BASE MODEL INPUTS'!$B$22</f>
        <v>12.743480163935004</v>
      </c>
      <c r="T54" s="34">
        <f>T53/'A1. BASE MODEL INPUTS'!$B$22</f>
        <v>13.208617189918629</v>
      </c>
      <c r="U54" s="34">
        <f>U53/'A1. BASE MODEL INPUTS'!$B$22</f>
        <v>13.69073171735066</v>
      </c>
      <c r="V54" s="34">
        <f>V53/'A1. BASE MODEL INPUTS'!$B$22</f>
        <v>14.190443425033958</v>
      </c>
      <c r="W54" s="34">
        <f>W53/'A1. BASE MODEL INPUTS'!$B$22</f>
        <v>14.708394610047701</v>
      </c>
      <c r="X54" s="34">
        <f>X53/'A1. BASE MODEL INPUTS'!$B$22</f>
        <v>15.245251013314443</v>
      </c>
      <c r="Y54" s="34">
        <f>Y53/'A1. BASE MODEL INPUTS'!$B$22</f>
        <v>15.801702675300417</v>
      </c>
      <c r="Z54" s="34">
        <f>Z53/'A1. BASE MODEL INPUTS'!$B$22</f>
        <v>16.378464822948885</v>
      </c>
      <c r="AA54" s="34">
        <f>AA53/'A1. BASE MODEL INPUTS'!$B$22</f>
        <v>16.976278788986516</v>
      </c>
      <c r="AB54" s="34">
        <f>AB53/'A1. BASE MODEL INPUTS'!$B$22</f>
        <v>17.595912964784528</v>
      </c>
      <c r="AC54" s="34">
        <f>AC53/'A1. BASE MODEL INPUTS'!$B$22</f>
        <v>18.238163787999163</v>
      </c>
      <c r="AD54" s="34">
        <f>AD53/'A1. BASE MODEL INPUTS'!$B$22</f>
        <v>18.903856766261132</v>
      </c>
      <c r="AE54" s="34">
        <f>AE53/'A1. BASE MODEL INPUTS'!$B$22</f>
        <v>19.59384753822966</v>
      </c>
      <c r="AF54" s="34">
        <f>AF53/'A1. BASE MODEL INPUTS'!$B$22</f>
        <v>20.309022973375043</v>
      </c>
      <c r="AG54" s="34">
        <f>AG53/'A1. BASE MODEL INPUTS'!$B$22</f>
        <v>21.050302311903231</v>
      </c>
      <c r="AH54" s="34">
        <f>AH53/'A1. BASE MODEL INPUTS'!$B$22</f>
        <v>21.818638346287699</v>
      </c>
      <c r="AI54" s="34">
        <f>AI53/'A1. BASE MODEL INPUTS'!$B$22</f>
        <v>22.615018645927197</v>
      </c>
      <c r="AJ54" s="34">
        <f>AJ53/'A1. BASE MODEL INPUTS'!$B$22</f>
        <v>23.440466826503535</v>
      </c>
      <c r="AK54" s="34">
        <f>AK53/'A1. BASE MODEL INPUTS'!$B$22</f>
        <v>24.296043865670917</v>
      </c>
    </row>
    <row r="55" spans="1:37" s="292" customFormat="1" ht="14" customHeight="1" outlineLevel="1">
      <c r="A55" s="305" t="s">
        <v>42</v>
      </c>
      <c r="B55" s="306">
        <f>-B54*'A1. BASE MODEL INPUTS'!$B$23</f>
        <v>-3117.6140624999998</v>
      </c>
      <c r="C55" s="306">
        <f>-C54*'A1. BASE MODEL INPUTS'!$B$23</f>
        <v>-3231.4069757812495</v>
      </c>
      <c r="D55" s="306">
        <f>-D54*'A1. BASE MODEL INPUTS'!$B$23</f>
        <v>-3349.3533303972654</v>
      </c>
      <c r="E55" s="306">
        <f>-E54*'A1. BASE MODEL INPUTS'!$B$23</f>
        <v>-3471.6047269567657</v>
      </c>
      <c r="F55" s="306">
        <f>-F54*'A1. BASE MODEL INPUTS'!$B$23</f>
        <v>-3598.3182994906879</v>
      </c>
      <c r="G55" s="306">
        <f>-G54*'A1. BASE MODEL INPUTS'!$B$23</f>
        <v>-3729.6569174220972</v>
      </c>
      <c r="H55" s="306">
        <f>-H54*'A1. BASE MODEL INPUTS'!$B$23</f>
        <v>-3865.7893949080044</v>
      </c>
      <c r="I55" s="306">
        <f>-I54*'A1. BASE MODEL INPUTS'!$B$23</f>
        <v>-4006.8907078221478</v>
      </c>
      <c r="J55" s="306">
        <f>-J54*'A1. BASE MODEL INPUTS'!$B$23</f>
        <v>-4153.1422186576556</v>
      </c>
      <c r="K55" s="306">
        <f>-K54*'A1. BASE MODEL INPUTS'!$B$23</f>
        <v>-4304.7319096386591</v>
      </c>
      <c r="L55" s="306">
        <f>-L54*'A1. BASE MODEL INPUTS'!$B$23</f>
        <v>-4461.8546243404699</v>
      </c>
      <c r="M55" s="306">
        <f>-M54*'A1. BASE MODEL INPUTS'!$B$23</f>
        <v>-4624.712318128898</v>
      </c>
      <c r="N55" s="306">
        <f>-N54*'A1. BASE MODEL INPUTS'!$B$23</f>
        <v>-4793.5143177406035</v>
      </c>
      <c r="O55" s="306">
        <f>-O54*'A1. BASE MODEL INPUTS'!$B$23</f>
        <v>-4968.4775903381333</v>
      </c>
      <c r="P55" s="306">
        <f>-P54*'A1. BASE MODEL INPUTS'!$B$23</f>
        <v>-5149.8270223854779</v>
      </c>
      <c r="Q55" s="306">
        <f>-Q54*'A1. BASE MODEL INPUTS'!$B$23</f>
        <v>-5337.795708702547</v>
      </c>
      <c r="R55" s="306">
        <f>-R54*'A1. BASE MODEL INPUTS'!$B$23</f>
        <v>-5532.625252070191</v>
      </c>
      <c r="S55" s="306">
        <f>-S54*'A1. BASE MODEL INPUTS'!$B$23</f>
        <v>-5734.5660737707522</v>
      </c>
      <c r="T55" s="306">
        <f>-T54*'A1. BASE MODEL INPUTS'!$B$23</f>
        <v>-5943.877735463383</v>
      </c>
      <c r="U55" s="306">
        <f>-U54*'A1. BASE MODEL INPUTS'!$B$23</f>
        <v>-6160.8292728077968</v>
      </c>
      <c r="V55" s="306">
        <f>-V54*'A1. BASE MODEL INPUTS'!$B$23</f>
        <v>-6385.6995412652814</v>
      </c>
      <c r="W55" s="306">
        <f>-W54*'A1. BASE MODEL INPUTS'!$B$23</f>
        <v>-6618.7775745214658</v>
      </c>
      <c r="X55" s="306">
        <f>-X54*'A1. BASE MODEL INPUTS'!$B$23</f>
        <v>-6860.3629559914989</v>
      </c>
      <c r="Y55" s="306">
        <f>-Y54*'A1. BASE MODEL INPUTS'!$B$23</f>
        <v>-7110.7662038851877</v>
      </c>
      <c r="Z55" s="306">
        <f>-Z54*'A1. BASE MODEL INPUTS'!$B$23</f>
        <v>-7370.3091703269984</v>
      </c>
      <c r="AA55" s="306">
        <f>-AA54*'A1. BASE MODEL INPUTS'!$B$23</f>
        <v>-7639.3254550439324</v>
      </c>
      <c r="AB55" s="306">
        <f>-AB54*'A1. BASE MODEL INPUTS'!$B$23</f>
        <v>-7918.1608341530373</v>
      </c>
      <c r="AC55" s="306">
        <f>-AC54*'A1. BASE MODEL INPUTS'!$B$23</f>
        <v>-8207.1737045996233</v>
      </c>
      <c r="AD55" s="306">
        <f>-AD54*'A1. BASE MODEL INPUTS'!$B$23</f>
        <v>-8506.7355448175094</v>
      </c>
      <c r="AE55" s="306">
        <f>-AE54*'A1. BASE MODEL INPUTS'!$B$23</f>
        <v>-8817.2313922033463</v>
      </c>
      <c r="AF55" s="306">
        <f>-AF54*'A1. BASE MODEL INPUTS'!$B$23</f>
        <v>-9139.0603380187695</v>
      </c>
      <c r="AG55" s="306">
        <f>-AG54*'A1. BASE MODEL INPUTS'!$B$23</f>
        <v>-9472.636040356454</v>
      </c>
      <c r="AH55" s="306">
        <f>-AH54*'A1. BASE MODEL INPUTS'!$B$23</f>
        <v>-9818.3872558294643</v>
      </c>
      <c r="AI55" s="306">
        <f>-AI54*'A1. BASE MODEL INPUTS'!$B$23</f>
        <v>-10176.758390667239</v>
      </c>
      <c r="AJ55" s="306">
        <f>-AJ54*'A1. BASE MODEL INPUTS'!$B$23</f>
        <v>-10548.210071926591</v>
      </c>
      <c r="AK55" s="306">
        <f>-AK54*'A1. BASE MODEL INPUTS'!$B$23</f>
        <v>-10933.219739551912</v>
      </c>
    </row>
    <row r="56" spans="1:37" s="5" customFormat="1" ht="14" customHeight="1" outlineLevel="1">
      <c r="A56" s="382"/>
      <c r="B56" s="11"/>
      <c r="C56" s="41"/>
      <c r="D56" s="41"/>
      <c r="E56" s="41"/>
      <c r="F56" s="41"/>
      <c r="G56" s="41"/>
      <c r="H56" s="41"/>
    </row>
    <row r="57" spans="1:37" s="5" customFormat="1" ht="14" customHeight="1" outlineLevel="1">
      <c r="A57" s="294" t="s">
        <v>158</v>
      </c>
      <c r="B57" s="329"/>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293"/>
    </row>
    <row r="58" spans="1:37" s="5" customFormat="1" ht="14" customHeight="1" outlineLevel="1">
      <c r="A58" s="275" t="s">
        <v>199</v>
      </c>
      <c r="B58" s="33">
        <f>B20*(1-'A1. BASE MODEL INPUTS'!$B$12)</f>
        <v>72450</v>
      </c>
      <c r="C58" s="33">
        <f>C20*(1-'A1. BASE MODEL INPUTS'!$B$12)</f>
        <v>75094.424999999988</v>
      </c>
      <c r="D58" s="33">
        <f>D20*(1-'A1. BASE MODEL INPUTS'!$B$12)</f>
        <v>77835.371512500002</v>
      </c>
      <c r="E58" s="33">
        <f>E20*(1-'A1. BASE MODEL INPUTS'!$B$12)</f>
        <v>80676.362572706246</v>
      </c>
      <c r="F58" s="33">
        <f>F20*(1-'A1. BASE MODEL INPUTS'!$B$12)</f>
        <v>83621.049806610041</v>
      </c>
      <c r="G58" s="33">
        <f>G20*(1-'A1. BASE MODEL INPUTS'!$B$12)</f>
        <v>86673.218124551291</v>
      </c>
      <c r="H58" s="33">
        <f>H20*(1-'A1. BASE MODEL INPUTS'!$B$12)</f>
        <v>89836.790586097428</v>
      </c>
      <c r="I58" s="33">
        <f>I20*(1-'A1. BASE MODEL INPUTS'!$B$12)</f>
        <v>93115.833442489995</v>
      </c>
      <c r="J58" s="33">
        <f>J20*(1-'A1. BASE MODEL INPUTS'!$B$12)</f>
        <v>96514.561363140863</v>
      </c>
      <c r="K58" s="33">
        <f>K20*(1-'A1. BASE MODEL INPUTS'!$B$12)</f>
        <v>100037.3428528955</v>
      </c>
      <c r="L58" s="33">
        <f>L20*(1-'A1. BASE MODEL INPUTS'!$B$12)</f>
        <v>103688.70586702618</v>
      </c>
      <c r="M58" s="33">
        <f>M20*(1-'A1. BASE MODEL INPUTS'!$B$12)</f>
        <v>107473.34363117264</v>
      </c>
      <c r="N58" s="33">
        <f>N20*(1-'A1. BASE MODEL INPUTS'!$B$12)</f>
        <v>111396.12067371045</v>
      </c>
      <c r="O58" s="33">
        <f>O20*(1-'A1. BASE MODEL INPUTS'!$B$12)</f>
        <v>115462.07907830087</v>
      </c>
      <c r="P58" s="33">
        <f>P20*(1-'A1. BASE MODEL INPUTS'!$B$12)</f>
        <v>119676.44496465888</v>
      </c>
      <c r="Q58" s="33">
        <f>Q20*(1-'A1. BASE MODEL INPUTS'!$B$12)</f>
        <v>124044.63520586892</v>
      </c>
      <c r="R58" s="33">
        <f>R20*(1-'A1. BASE MODEL INPUTS'!$B$12)</f>
        <v>128572.26439088314</v>
      </c>
      <c r="S58" s="33">
        <f>S20*(1-'A1. BASE MODEL INPUTS'!$B$12)</f>
        <v>133265.15204115037</v>
      </c>
      <c r="T58" s="33">
        <f>T20*(1-'A1. BASE MODEL INPUTS'!$B$12)</f>
        <v>138129.33009065234</v>
      </c>
      <c r="U58" s="33">
        <f>U20*(1-'A1. BASE MODEL INPUTS'!$B$12)</f>
        <v>143171.05063896117</v>
      </c>
      <c r="V58" s="33">
        <f>V20*(1-'A1. BASE MODEL INPUTS'!$B$12)</f>
        <v>148396.79398728325</v>
      </c>
      <c r="W58" s="33">
        <f>W20*(1-'A1. BASE MODEL INPUTS'!$B$12)</f>
        <v>153813.27696781911</v>
      </c>
      <c r="X58" s="33">
        <f>X20*(1-'A1. BASE MODEL INPUTS'!$B$12)</f>
        <v>159427.46157714451</v>
      </c>
      <c r="Y58" s="33">
        <f>Y20*(1-'A1. BASE MODEL INPUTS'!$B$12)</f>
        <v>165246.56392471027</v>
      </c>
      <c r="Z58" s="33">
        <f>Z20*(1-'A1. BASE MODEL INPUTS'!$B$12)</f>
        <v>171278.06350796222</v>
      </c>
      <c r="AA58" s="33">
        <f>AA20*(1-'A1. BASE MODEL INPUTS'!$B$12)</f>
        <v>177529.71282600283</v>
      </c>
      <c r="AB58" s="33">
        <f>AB20*(1-'A1. BASE MODEL INPUTS'!$B$12)</f>
        <v>184009.54734415191</v>
      </c>
      <c r="AC58" s="33">
        <f>AC20*(1-'A1. BASE MODEL INPUTS'!$B$12)</f>
        <v>190725.89582221347</v>
      </c>
      <c r="AD58" s="33">
        <f>AD20*(1-'A1. BASE MODEL INPUTS'!$B$12)</f>
        <v>197687.39101972425</v>
      </c>
      <c r="AE58" s="33">
        <f>AE20*(1-'A1. BASE MODEL INPUTS'!$B$12)</f>
        <v>204902.98079194417</v>
      </c>
      <c r="AF58" s="33">
        <f>AF20*(1-'A1. BASE MODEL INPUTS'!$B$12)</f>
        <v>212381.93959085015</v>
      </c>
      <c r="AG58" s="33">
        <f>AG20*(1-'A1. BASE MODEL INPUTS'!$B$12)</f>
        <v>220133.88038591616</v>
      </c>
      <c r="AH58" s="33">
        <f>AH20*(1-'A1. BASE MODEL INPUTS'!$B$12)</f>
        <v>228168.76702000209</v>
      </c>
      <c r="AI58" s="33">
        <f>AI20*(1-'A1. BASE MODEL INPUTS'!$B$12)</f>
        <v>236496.92701623213</v>
      </c>
      <c r="AJ58" s="33">
        <f>AJ20*(1-'A1. BASE MODEL INPUTS'!$B$12)</f>
        <v>245129.06485232458</v>
      </c>
      <c r="AK58" s="33">
        <f>AK20*(1-'A1. BASE MODEL INPUTS'!$B$12)</f>
        <v>254076.27571943443</v>
      </c>
    </row>
    <row r="59" spans="1:37" s="5" customFormat="1" ht="14" customHeight="1" outlineLevel="1">
      <c r="A59" s="275" t="s">
        <v>203</v>
      </c>
      <c r="B59" s="135">
        <f>B58*'A1. BASE MODEL INPUTS'!$E$9</f>
        <v>543375</v>
      </c>
      <c r="C59" s="135">
        <f>C58*'A1. BASE MODEL INPUTS'!$E$9</f>
        <v>563208.18749999988</v>
      </c>
      <c r="D59" s="135">
        <f>D58*'A1. BASE MODEL INPUTS'!$E$9</f>
        <v>583765.28634374996</v>
      </c>
      <c r="E59" s="135">
        <f>E58*'A1. BASE MODEL INPUTS'!$E$9</f>
        <v>605072.71929529682</v>
      </c>
      <c r="F59" s="135">
        <f>F58*'A1. BASE MODEL INPUTS'!$E$9</f>
        <v>627157.87354957534</v>
      </c>
      <c r="G59" s="135">
        <f>G58*'A1. BASE MODEL INPUTS'!$E$9</f>
        <v>650049.13593413471</v>
      </c>
      <c r="H59" s="135">
        <f>H58*'A1. BASE MODEL INPUTS'!$E$9</f>
        <v>673775.92939573072</v>
      </c>
      <c r="I59" s="135">
        <f>I58*'A1. BASE MODEL INPUTS'!$E$9</f>
        <v>698368.75081867492</v>
      </c>
      <c r="J59" s="135">
        <f>J58*'A1. BASE MODEL INPUTS'!$E$9</f>
        <v>723859.2102235565</v>
      </c>
      <c r="K59" s="135">
        <f>K58*'A1. BASE MODEL INPUTS'!$E$9</f>
        <v>750280.07139671617</v>
      </c>
      <c r="L59" s="135">
        <f>L58*'A1. BASE MODEL INPUTS'!$E$9</f>
        <v>777665.29400269629</v>
      </c>
      <c r="M59" s="135">
        <f>M58*'A1. BASE MODEL INPUTS'!$E$9</f>
        <v>806050.07723379484</v>
      </c>
      <c r="N59" s="135">
        <f>N58*'A1. BASE MODEL INPUTS'!$E$9</f>
        <v>835470.90505282837</v>
      </c>
      <c r="O59" s="135">
        <f>O58*'A1. BASE MODEL INPUTS'!$E$9</f>
        <v>865965.59308725654</v>
      </c>
      <c r="P59" s="135">
        <f>P58*'A1. BASE MODEL INPUTS'!$E$9</f>
        <v>897573.33723494154</v>
      </c>
      <c r="Q59" s="135">
        <f>Q58*'A1. BASE MODEL INPUTS'!$E$9</f>
        <v>930334.76404401695</v>
      </c>
      <c r="R59" s="135">
        <f>R58*'A1. BASE MODEL INPUTS'!$E$9</f>
        <v>964291.98293162358</v>
      </c>
      <c r="S59" s="135">
        <f>S58*'A1. BASE MODEL INPUTS'!$E$9</f>
        <v>999488.64030862786</v>
      </c>
      <c r="T59" s="135">
        <f>T58*'A1. BASE MODEL INPUTS'!$E$9</f>
        <v>1035969.9756798926</v>
      </c>
      <c r="U59" s="135">
        <f>U58*'A1. BASE MODEL INPUTS'!$E$9</f>
        <v>1073782.8797922088</v>
      </c>
      <c r="V59" s="135">
        <f>V58*'A1. BASE MODEL INPUTS'!$E$9</f>
        <v>1112975.9549046243</v>
      </c>
      <c r="W59" s="135">
        <f>W58*'A1. BASE MODEL INPUTS'!$E$9</f>
        <v>1153599.5772586432</v>
      </c>
      <c r="X59" s="135">
        <f>X58*'A1. BASE MODEL INPUTS'!$E$9</f>
        <v>1195705.9618285839</v>
      </c>
      <c r="Y59" s="135">
        <f>Y58*'A1. BASE MODEL INPUTS'!$E$9</f>
        <v>1239349.229435327</v>
      </c>
      <c r="Z59" s="135">
        <f>Z58*'A1. BASE MODEL INPUTS'!$E$9</f>
        <v>1284585.4763097167</v>
      </c>
      <c r="AA59" s="135">
        <f>AA58*'A1. BASE MODEL INPUTS'!$E$9</f>
        <v>1331472.8461950212</v>
      </c>
      <c r="AB59" s="135">
        <f>AB58*'A1. BASE MODEL INPUTS'!$E$9</f>
        <v>1380071.6050811394</v>
      </c>
      <c r="AC59" s="135">
        <f>AC58*'A1. BASE MODEL INPUTS'!$E$9</f>
        <v>1430444.218666601</v>
      </c>
      <c r="AD59" s="135">
        <f>AD58*'A1. BASE MODEL INPUTS'!$E$9</f>
        <v>1482655.4326479319</v>
      </c>
      <c r="AE59" s="135">
        <f>AE58*'A1. BASE MODEL INPUTS'!$E$9</f>
        <v>1536772.3559395813</v>
      </c>
      <c r="AF59" s="135">
        <f>AF58*'A1. BASE MODEL INPUTS'!$E$9</f>
        <v>1592864.5469313762</v>
      </c>
      <c r="AG59" s="135">
        <f>AG58*'A1. BASE MODEL INPUTS'!$E$9</f>
        <v>1651004.1028943711</v>
      </c>
      <c r="AH59" s="135">
        <f>AH58*'A1. BASE MODEL INPUTS'!$E$9</f>
        <v>1711265.7526500158</v>
      </c>
      <c r="AI59" s="135">
        <f>AI58*'A1. BASE MODEL INPUTS'!$E$9</f>
        <v>1773726.952621741</v>
      </c>
      <c r="AJ59" s="135">
        <f>AJ58*'A1. BASE MODEL INPUTS'!$E$9</f>
        <v>1838467.9863924342</v>
      </c>
      <c r="AK59" s="135">
        <f>AK58*'A1. BASE MODEL INPUTS'!$E$9</f>
        <v>1905572.0678957582</v>
      </c>
    </row>
    <row r="60" spans="1:37" s="292" customFormat="1" ht="14" customHeight="1" outlineLevel="1">
      <c r="A60" s="296" t="s">
        <v>269</v>
      </c>
      <c r="B60" s="397">
        <f>-B59*'A1. BASE MODEL INPUTS'!$E$21</f>
        <v>-8150.625</v>
      </c>
      <c r="C60" s="397">
        <f>-C59*'A1. BASE MODEL INPUTS'!$E$21</f>
        <v>-8448.122812499998</v>
      </c>
      <c r="D60" s="397">
        <f>-D59*'A1. BASE MODEL INPUTS'!$E$21</f>
        <v>-8756.4792951562486</v>
      </c>
      <c r="E60" s="397">
        <f>-E59*'A1. BASE MODEL INPUTS'!$E$21</f>
        <v>-9076.0907894294523</v>
      </c>
      <c r="F60" s="397">
        <f>-F59*'A1. BASE MODEL INPUTS'!$E$21</f>
        <v>-9407.3681032436289</v>
      </c>
      <c r="G60" s="397">
        <f>-G59*'A1. BASE MODEL INPUTS'!$E$21</f>
        <v>-9750.7370390120195</v>
      </c>
      <c r="H60" s="397">
        <f>-H59*'A1. BASE MODEL INPUTS'!$E$21</f>
        <v>-10106.63894093596</v>
      </c>
      <c r="I60" s="397">
        <f>-I59*'A1. BASE MODEL INPUTS'!$E$21</f>
        <v>-10475.531262280123</v>
      </c>
      <c r="J60" s="397">
        <f>-J59*'A1. BASE MODEL INPUTS'!$E$21</f>
        <v>-10857.888153353348</v>
      </c>
      <c r="K60" s="397">
        <f>-K59*'A1. BASE MODEL INPUTS'!$E$21</f>
        <v>-11254.201070950741</v>
      </c>
      <c r="L60" s="397">
        <f>-L59*'A1. BASE MODEL INPUTS'!$E$21</f>
        <v>-11664.979410040443</v>
      </c>
      <c r="M60" s="397">
        <f>-M59*'A1. BASE MODEL INPUTS'!$E$21</f>
        <v>-12090.751158506922</v>
      </c>
      <c r="N60" s="397">
        <f>-N59*'A1. BASE MODEL INPUTS'!$E$21</f>
        <v>-12532.063575792425</v>
      </c>
      <c r="O60" s="397">
        <f>-O59*'A1. BASE MODEL INPUTS'!$E$21</f>
        <v>-12989.483896308848</v>
      </c>
      <c r="P60" s="397">
        <f>-P59*'A1. BASE MODEL INPUTS'!$E$21</f>
        <v>-13463.600058524122</v>
      </c>
      <c r="Q60" s="397">
        <f>-Q59*'A1. BASE MODEL INPUTS'!$E$21</f>
        <v>-13955.021460660253</v>
      </c>
      <c r="R60" s="397">
        <f>-R59*'A1. BASE MODEL INPUTS'!$E$21</f>
        <v>-14464.379743974354</v>
      </c>
      <c r="S60" s="397">
        <f>-S59*'A1. BASE MODEL INPUTS'!$E$21</f>
        <v>-14992.329604629418</v>
      </c>
      <c r="T60" s="397">
        <f>-T59*'A1. BASE MODEL INPUTS'!$E$21</f>
        <v>-15539.549635198387</v>
      </c>
      <c r="U60" s="397">
        <f>-U59*'A1. BASE MODEL INPUTS'!$E$21</f>
        <v>-16106.743196883132</v>
      </c>
      <c r="V60" s="397">
        <f>-V59*'A1. BASE MODEL INPUTS'!$E$21</f>
        <v>-16694.639323569365</v>
      </c>
      <c r="W60" s="397">
        <f>-W59*'A1. BASE MODEL INPUTS'!$E$21</f>
        <v>-17303.993658879648</v>
      </c>
      <c r="X60" s="397">
        <f>-X59*'A1. BASE MODEL INPUTS'!$E$21</f>
        <v>-17935.589427428757</v>
      </c>
      <c r="Y60" s="397">
        <f>-Y59*'A1. BASE MODEL INPUTS'!$E$21</f>
        <v>-18590.238441529906</v>
      </c>
      <c r="Z60" s="397">
        <f>-Z59*'A1. BASE MODEL INPUTS'!$E$21</f>
        <v>-19268.782144645749</v>
      </c>
      <c r="AA60" s="397">
        <f>-AA59*'A1. BASE MODEL INPUTS'!$E$21</f>
        <v>-19972.092692925318</v>
      </c>
      <c r="AB60" s="397">
        <f>-AB59*'A1. BASE MODEL INPUTS'!$E$21</f>
        <v>-20701.07407621709</v>
      </c>
      <c r="AC60" s="397">
        <f>-AC59*'A1. BASE MODEL INPUTS'!$E$21</f>
        <v>-21456.663279999015</v>
      </c>
      <c r="AD60" s="397">
        <f>-AD59*'A1. BASE MODEL INPUTS'!$E$21</f>
        <v>-22239.831489718978</v>
      </c>
      <c r="AE60" s="397">
        <f>-AE59*'A1. BASE MODEL INPUTS'!$E$21</f>
        <v>-23051.585339093719</v>
      </c>
      <c r="AF60" s="397">
        <f>-AF59*'A1. BASE MODEL INPUTS'!$E$21</f>
        <v>-23892.968203970642</v>
      </c>
      <c r="AG60" s="397">
        <f>-AG59*'A1. BASE MODEL INPUTS'!$E$21</f>
        <v>-24765.061543415566</v>
      </c>
      <c r="AH60" s="397">
        <f>-AH59*'A1. BASE MODEL INPUTS'!$E$21</f>
        <v>-25668.986289750235</v>
      </c>
      <c r="AI60" s="397">
        <f>-AI59*'A1. BASE MODEL INPUTS'!$E$21</f>
        <v>-26605.904289326114</v>
      </c>
      <c r="AJ60" s="397">
        <f>-AJ59*'A1. BASE MODEL INPUTS'!$E$21</f>
        <v>-27577.019795886514</v>
      </c>
      <c r="AK60" s="397">
        <f>-AK59*'A1. BASE MODEL INPUTS'!$E$21</f>
        <v>-28583.581018436373</v>
      </c>
    </row>
    <row r="61" spans="1:37" s="5" customFormat="1" ht="14" customHeight="1" outlineLevel="1">
      <c r="A61" s="275"/>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row>
    <row r="62" spans="1:37" s="5" customFormat="1" ht="14" customHeight="1">
      <c r="A62" s="294" t="s">
        <v>178</v>
      </c>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295"/>
    </row>
    <row r="63" spans="1:37" s="292" customFormat="1" ht="14" customHeight="1">
      <c r="A63" s="290" t="s">
        <v>200</v>
      </c>
      <c r="B63" s="397">
        <f>B55+B60</f>
        <v>-11268.239062500001</v>
      </c>
      <c r="C63" s="397">
        <f t="shared" ref="C63:AK63" si="13">C55+C60</f>
        <v>-11679.529788281248</v>
      </c>
      <c r="D63" s="397">
        <f t="shared" si="13"/>
        <v>-12105.832625553514</v>
      </c>
      <c r="E63" s="397">
        <f t="shared" si="13"/>
        <v>-12547.695516386219</v>
      </c>
      <c r="F63" s="397">
        <f t="shared" si="13"/>
        <v>-13005.686402734316</v>
      </c>
      <c r="G63" s="397">
        <f t="shared" si="13"/>
        <v>-13480.393956434116</v>
      </c>
      <c r="H63" s="397">
        <f t="shared" si="13"/>
        <v>-13972.428335843964</v>
      </c>
      <c r="I63" s="397">
        <f t="shared" si="13"/>
        <v>-14482.42197010227</v>
      </c>
      <c r="J63" s="397">
        <f t="shared" si="13"/>
        <v>-15011.030372011002</v>
      </c>
      <c r="K63" s="397">
        <f t="shared" si="13"/>
        <v>-15558.932980589401</v>
      </c>
      <c r="L63" s="397">
        <f t="shared" si="13"/>
        <v>-16126.834034380914</v>
      </c>
      <c r="M63" s="397">
        <f t="shared" si="13"/>
        <v>-16715.463476635821</v>
      </c>
      <c r="N63" s="397">
        <f t="shared" si="13"/>
        <v>-17325.577893533027</v>
      </c>
      <c r="O63" s="397">
        <f t="shared" si="13"/>
        <v>-17957.961486646982</v>
      </c>
      <c r="P63" s="397">
        <f t="shared" si="13"/>
        <v>-18613.427080909598</v>
      </c>
      <c r="Q63" s="397">
        <f t="shared" si="13"/>
        <v>-19292.817169362799</v>
      </c>
      <c r="R63" s="397">
        <f t="shared" si="13"/>
        <v>-19997.004996044547</v>
      </c>
      <c r="S63" s="397">
        <f t="shared" si="13"/>
        <v>-20726.895678400171</v>
      </c>
      <c r="T63" s="397">
        <f t="shared" si="13"/>
        <v>-21483.427370661771</v>
      </c>
      <c r="U63" s="397">
        <f t="shared" si="13"/>
        <v>-22267.572469690927</v>
      </c>
      <c r="V63" s="397">
        <f t="shared" si="13"/>
        <v>-23080.338864834644</v>
      </c>
      <c r="W63" s="397">
        <f t="shared" si="13"/>
        <v>-23922.771233401116</v>
      </c>
      <c r="X63" s="397">
        <f t="shared" si="13"/>
        <v>-24795.952383420256</v>
      </c>
      <c r="Y63" s="397">
        <f t="shared" si="13"/>
        <v>-25701.004645415094</v>
      </c>
      <c r="Z63" s="397">
        <f t="shared" si="13"/>
        <v>-26639.091314972749</v>
      </c>
      <c r="AA63" s="397">
        <f t="shared" si="13"/>
        <v>-27611.418147969249</v>
      </c>
      <c r="AB63" s="397">
        <f t="shared" si="13"/>
        <v>-28619.234910370127</v>
      </c>
      <c r="AC63" s="397">
        <f t="shared" si="13"/>
        <v>-29663.836984598638</v>
      </c>
      <c r="AD63" s="397">
        <f t="shared" si="13"/>
        <v>-30746.567034536485</v>
      </c>
      <c r="AE63" s="397">
        <f t="shared" si="13"/>
        <v>-31868.816731297065</v>
      </c>
      <c r="AF63" s="397">
        <f t="shared" si="13"/>
        <v>-33032.028541989413</v>
      </c>
      <c r="AG63" s="397">
        <f t="shared" si="13"/>
        <v>-34237.697583772024</v>
      </c>
      <c r="AH63" s="397">
        <f t="shared" si="13"/>
        <v>-35487.3735455797</v>
      </c>
      <c r="AI63" s="397">
        <f t="shared" si="13"/>
        <v>-36782.662679993351</v>
      </c>
      <c r="AJ63" s="397">
        <f t="shared" si="13"/>
        <v>-38125.229867813105</v>
      </c>
      <c r="AK63" s="397">
        <f t="shared" si="13"/>
        <v>-39516.800757988283</v>
      </c>
    </row>
    <row r="64" spans="1:37" s="5" customFormat="1" ht="14" customHeight="1">
      <c r="A64" s="383"/>
      <c r="B64" s="11"/>
      <c r="C64" s="41"/>
      <c r="D64" s="41"/>
      <c r="E64" s="41"/>
      <c r="F64" s="41"/>
      <c r="G64" s="41"/>
      <c r="H64" s="41"/>
    </row>
    <row r="65" spans="1:37" s="5" customFormat="1" ht="15" customHeight="1" thickBot="1">
      <c r="A65" s="418" t="s">
        <v>272</v>
      </c>
      <c r="B65" s="392"/>
      <c r="C65" s="393"/>
      <c r="D65" s="393"/>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393"/>
      <c r="AC65" s="393"/>
      <c r="AD65" s="393"/>
      <c r="AE65" s="393"/>
      <c r="AF65" s="393"/>
      <c r="AG65" s="393"/>
      <c r="AH65" s="393"/>
      <c r="AI65" s="393"/>
      <c r="AJ65" s="393"/>
      <c r="AK65" s="393"/>
    </row>
    <row r="66" spans="1:37" s="128" customFormat="1" ht="14" customHeight="1" outlineLevel="1">
      <c r="A66" s="384" t="s">
        <v>267</v>
      </c>
      <c r="B66" s="126">
        <f>-'B1. MASTER AGENT INPUTS'!B5</f>
        <v>-5000</v>
      </c>
      <c r="C66" s="127"/>
      <c r="D66" s="127"/>
      <c r="E66" s="127"/>
      <c r="F66" s="127"/>
      <c r="G66" s="127"/>
      <c r="H66" s="127"/>
    </row>
    <row r="67" spans="1:37" s="128" customFormat="1" ht="14" customHeight="1" outlineLevel="1">
      <c r="A67" s="384" t="s">
        <v>268</v>
      </c>
      <c r="B67" s="126">
        <f>-('B1. MASTER AGENT INPUTS'!$B$6*'B1. MASTER AGENT INPUTS'!$B$7)/12</f>
        <v>-833.33333333333337</v>
      </c>
      <c r="C67" s="126">
        <f>-('B1. MASTER AGENT INPUTS'!$B$6*'B1. MASTER AGENT INPUTS'!$B$7)/12</f>
        <v>-833.33333333333337</v>
      </c>
      <c r="D67" s="126">
        <f>-('B1. MASTER AGENT INPUTS'!$B$6*'B1. MASTER AGENT INPUTS'!$B$7)/12</f>
        <v>-833.33333333333337</v>
      </c>
      <c r="E67" s="126">
        <f>-('B1. MASTER AGENT INPUTS'!$B$6*'B1. MASTER AGENT INPUTS'!$B$7)/12</f>
        <v>-833.33333333333337</v>
      </c>
      <c r="F67" s="126">
        <f>-('B1. MASTER AGENT INPUTS'!$B$6*'B1. MASTER AGENT INPUTS'!$B$7)/12</f>
        <v>-833.33333333333337</v>
      </c>
      <c r="G67" s="126">
        <f>-('B1. MASTER AGENT INPUTS'!$B$6*'B1. MASTER AGENT INPUTS'!$B$7)/12</f>
        <v>-833.33333333333337</v>
      </c>
      <c r="H67" s="126">
        <f>-('B1. MASTER AGENT INPUTS'!$B$6*'B1. MASTER AGENT INPUTS'!$B$7)/12</f>
        <v>-833.33333333333337</v>
      </c>
      <c r="I67" s="126">
        <f>-('B1. MASTER AGENT INPUTS'!$B$6*'B1. MASTER AGENT INPUTS'!$B$7)/12</f>
        <v>-833.33333333333337</v>
      </c>
      <c r="J67" s="126">
        <f>-('B1. MASTER AGENT INPUTS'!$B$6*'B1. MASTER AGENT INPUTS'!$B$7)/12</f>
        <v>-833.33333333333337</v>
      </c>
      <c r="K67" s="126">
        <f>-('B1. MASTER AGENT INPUTS'!$B$6*'B1. MASTER AGENT INPUTS'!$B$7)/12</f>
        <v>-833.33333333333337</v>
      </c>
      <c r="L67" s="126">
        <f>-('B1. MASTER AGENT INPUTS'!$B$6*'B1. MASTER AGENT INPUTS'!$B$7)/12</f>
        <v>-833.33333333333337</v>
      </c>
      <c r="M67" s="126">
        <f>-('B1. MASTER AGENT INPUTS'!$B$6*'B1. MASTER AGENT INPUTS'!$B$7)/12</f>
        <v>-833.33333333333337</v>
      </c>
      <c r="N67" s="126">
        <f>-('B1. MASTER AGENT INPUTS'!$B$6*'B1. MASTER AGENT INPUTS'!$B$7)/12</f>
        <v>-833.33333333333337</v>
      </c>
      <c r="O67" s="126">
        <f>-('B1. MASTER AGENT INPUTS'!$B$6*'B1. MASTER AGENT INPUTS'!$B$7)/12</f>
        <v>-833.33333333333337</v>
      </c>
      <c r="P67" s="126">
        <f>-('B1. MASTER AGENT INPUTS'!$B$6*'B1. MASTER AGENT INPUTS'!$B$7)/12</f>
        <v>-833.33333333333337</v>
      </c>
      <c r="Q67" s="126">
        <f>-('B1. MASTER AGENT INPUTS'!$B$6*'B1. MASTER AGENT INPUTS'!$B$7)/12</f>
        <v>-833.33333333333337</v>
      </c>
      <c r="R67" s="126">
        <f>-('B1. MASTER AGENT INPUTS'!$B$6*'B1. MASTER AGENT INPUTS'!$B$7)/12</f>
        <v>-833.33333333333337</v>
      </c>
      <c r="S67" s="126">
        <f>-('B1. MASTER AGENT INPUTS'!$B$6*'B1. MASTER AGENT INPUTS'!$B$7)/12</f>
        <v>-833.33333333333337</v>
      </c>
      <c r="T67" s="126">
        <f>-('B1. MASTER AGENT INPUTS'!$B$6*'B1. MASTER AGENT INPUTS'!$B$7)/12</f>
        <v>-833.33333333333337</v>
      </c>
      <c r="U67" s="126">
        <f>-('B1. MASTER AGENT INPUTS'!$B$6*'B1. MASTER AGENT INPUTS'!$B$7)/12</f>
        <v>-833.33333333333337</v>
      </c>
      <c r="V67" s="126">
        <f>-('B1. MASTER AGENT INPUTS'!$B$6*'B1. MASTER AGENT INPUTS'!$B$7)/12</f>
        <v>-833.33333333333337</v>
      </c>
      <c r="W67" s="126">
        <f>-('B1. MASTER AGENT INPUTS'!$B$6*'B1. MASTER AGENT INPUTS'!$B$7)/12</f>
        <v>-833.33333333333337</v>
      </c>
      <c r="X67" s="126">
        <f>-('B1. MASTER AGENT INPUTS'!$B$6*'B1. MASTER AGENT INPUTS'!$B$7)/12</f>
        <v>-833.33333333333337</v>
      </c>
      <c r="Y67" s="126">
        <f>-('B1. MASTER AGENT INPUTS'!$B$6*'B1. MASTER AGENT INPUTS'!$B$7)/12</f>
        <v>-833.33333333333337</v>
      </c>
      <c r="Z67" s="126">
        <f>-('B1. MASTER AGENT INPUTS'!$B$6*'B1. MASTER AGENT INPUTS'!$B$7)/12</f>
        <v>-833.33333333333337</v>
      </c>
      <c r="AA67" s="126">
        <f>-('B1. MASTER AGENT INPUTS'!$B$6*'B1. MASTER AGENT INPUTS'!$B$7)/12</f>
        <v>-833.33333333333337</v>
      </c>
      <c r="AB67" s="126">
        <f>-('B1. MASTER AGENT INPUTS'!$B$6*'B1. MASTER AGENT INPUTS'!$B$7)/12</f>
        <v>-833.33333333333337</v>
      </c>
      <c r="AC67" s="126">
        <f>-('B1. MASTER AGENT INPUTS'!$B$6*'B1. MASTER AGENT INPUTS'!$B$7)/12</f>
        <v>-833.33333333333337</v>
      </c>
      <c r="AD67" s="126">
        <f>-('B1. MASTER AGENT INPUTS'!$B$6*'B1. MASTER AGENT INPUTS'!$B$7)/12</f>
        <v>-833.33333333333337</v>
      </c>
      <c r="AE67" s="126">
        <f>-('B1. MASTER AGENT INPUTS'!$B$6*'B1. MASTER AGENT INPUTS'!$B$7)/12</f>
        <v>-833.33333333333337</v>
      </c>
      <c r="AF67" s="126">
        <f>-('B1. MASTER AGENT INPUTS'!$B$6*'B1. MASTER AGENT INPUTS'!$B$7)/12</f>
        <v>-833.33333333333337</v>
      </c>
      <c r="AG67" s="126">
        <f>-('B1. MASTER AGENT INPUTS'!$B$6*'B1. MASTER AGENT INPUTS'!$B$7)/12</f>
        <v>-833.33333333333337</v>
      </c>
      <c r="AH67" s="126">
        <f>-('B1. MASTER AGENT INPUTS'!$B$6*'B1. MASTER AGENT INPUTS'!$B$7)/12</f>
        <v>-833.33333333333337</v>
      </c>
      <c r="AI67" s="126">
        <f>-('B1. MASTER AGENT INPUTS'!$B$6*'B1. MASTER AGENT INPUTS'!$B$7)/12</f>
        <v>-833.33333333333337</v>
      </c>
      <c r="AJ67" s="126">
        <f>-('B1. MASTER AGENT INPUTS'!$B$6*'B1. MASTER AGENT INPUTS'!$B$7)/12</f>
        <v>-833.33333333333337</v>
      </c>
      <c r="AK67" s="126">
        <f>-('B1. MASTER AGENT INPUTS'!$B$6*'B1. MASTER AGENT INPUTS'!$B$7)/12</f>
        <v>-833.33333333333337</v>
      </c>
    </row>
    <row r="68" spans="1:37" s="34" customFormat="1" ht="14" customHeight="1" outlineLevel="1">
      <c r="A68" s="385" t="s">
        <v>91</v>
      </c>
      <c r="B68" s="34">
        <f>ROUNDUP(B25/'B1. MASTER AGENT INPUTS'!$B$10,0)</f>
        <v>207</v>
      </c>
      <c r="C68" s="34">
        <f>ROUNDUP(C25/'B1. MASTER AGENT INPUTS'!$B$10,0)</f>
        <v>215</v>
      </c>
      <c r="D68" s="34">
        <f>ROUNDUP(D25/'B1. MASTER AGENT INPUTS'!$B$10,0)</f>
        <v>223</v>
      </c>
      <c r="E68" s="34">
        <f>ROUNDUP(E25/'B1. MASTER AGENT INPUTS'!$B$10,0)</f>
        <v>231</v>
      </c>
      <c r="F68" s="34">
        <f>ROUNDUP(F25/'B1. MASTER AGENT INPUTS'!$B$10,0)</f>
        <v>239</v>
      </c>
      <c r="G68" s="34">
        <f>ROUNDUP(G25/'B1. MASTER AGENT INPUTS'!$B$10,0)</f>
        <v>248</v>
      </c>
      <c r="H68" s="34">
        <f>ROUNDUP(H25/'B1. MASTER AGENT INPUTS'!$B$10,0)</f>
        <v>257</v>
      </c>
      <c r="I68" s="34">
        <f>ROUNDUP(I25/'B1. MASTER AGENT INPUTS'!$B$10,0)</f>
        <v>267</v>
      </c>
      <c r="J68" s="34">
        <f>ROUNDUP(J25/'B1. MASTER AGENT INPUTS'!$B$10,0)</f>
        <v>276</v>
      </c>
      <c r="K68" s="34">
        <f>ROUNDUP(K25/'B1. MASTER AGENT INPUTS'!$B$10,0)</f>
        <v>286</v>
      </c>
      <c r="L68" s="34">
        <f>ROUNDUP(L25/'B1. MASTER AGENT INPUTS'!$B$10,0)</f>
        <v>297</v>
      </c>
      <c r="M68" s="34">
        <f>ROUNDUP(M25/'B1. MASTER AGENT INPUTS'!$B$10,0)</f>
        <v>308</v>
      </c>
      <c r="N68" s="34">
        <f>ROUNDUP(N25/'B1. MASTER AGENT INPUTS'!$B$10,0)</f>
        <v>319</v>
      </c>
      <c r="O68" s="34">
        <f>ROUNDUP(O25/'B1. MASTER AGENT INPUTS'!$B$10,0)</f>
        <v>330</v>
      </c>
      <c r="P68" s="34">
        <f>ROUNDUP(P25/'B1. MASTER AGENT INPUTS'!$B$10,0)</f>
        <v>342</v>
      </c>
      <c r="Q68" s="34">
        <f>ROUNDUP(Q25/'B1. MASTER AGENT INPUTS'!$B$10,0)</f>
        <v>355</v>
      </c>
      <c r="R68" s="34">
        <f>ROUNDUP(R25/'B1. MASTER AGENT INPUTS'!$B$10,0)</f>
        <v>368</v>
      </c>
      <c r="S68" s="34">
        <f>ROUNDUP(S25/'B1. MASTER AGENT INPUTS'!$B$10,0)</f>
        <v>381</v>
      </c>
      <c r="T68" s="34">
        <f>ROUNDUP(T25/'B1. MASTER AGENT INPUTS'!$B$10,0)</f>
        <v>395</v>
      </c>
      <c r="U68" s="34">
        <f>ROUNDUP(U25/'B1. MASTER AGENT INPUTS'!$B$10,0)</f>
        <v>410</v>
      </c>
      <c r="V68" s="34">
        <f>ROUNDUP(V25/'B1. MASTER AGENT INPUTS'!$B$10,0)</f>
        <v>424</v>
      </c>
      <c r="W68" s="34">
        <f>ROUNDUP(W25/'B1. MASTER AGENT INPUTS'!$B$10,0)</f>
        <v>440</v>
      </c>
      <c r="X68" s="34">
        <f>ROUNDUP(X25/'B1. MASTER AGENT INPUTS'!$B$10,0)</f>
        <v>456</v>
      </c>
      <c r="Y68" s="34">
        <f>ROUNDUP(Y25/'B1. MASTER AGENT INPUTS'!$B$10,0)</f>
        <v>473</v>
      </c>
      <c r="Z68" s="34">
        <f>ROUNDUP(Z25/'B1. MASTER AGENT INPUTS'!$B$10,0)</f>
        <v>490</v>
      </c>
      <c r="AA68" s="34">
        <f>ROUNDUP(AA25/'B1. MASTER AGENT INPUTS'!$B$10,0)</f>
        <v>508</v>
      </c>
      <c r="AB68" s="34">
        <f>ROUNDUP(AB25/'B1. MASTER AGENT INPUTS'!$B$10,0)</f>
        <v>526</v>
      </c>
      <c r="AC68" s="34">
        <f>ROUNDUP(AC25/'B1. MASTER AGENT INPUTS'!$B$10,0)</f>
        <v>545</v>
      </c>
      <c r="AD68" s="34">
        <f>ROUNDUP(AD25/'B1. MASTER AGENT INPUTS'!$B$10,0)</f>
        <v>565</v>
      </c>
      <c r="AE68" s="34">
        <f>ROUNDUP(AE25/'B1. MASTER AGENT INPUTS'!$B$10,0)</f>
        <v>586</v>
      </c>
      <c r="AF68" s="34">
        <f>ROUNDUP(AF25/'B1. MASTER AGENT INPUTS'!$B$10,0)</f>
        <v>607</v>
      </c>
      <c r="AG68" s="34">
        <f>ROUNDUP(AG25/'B1. MASTER AGENT INPUTS'!$B$10,0)</f>
        <v>629</v>
      </c>
      <c r="AH68" s="34">
        <f>ROUNDUP(AH25/'B1. MASTER AGENT INPUTS'!$B$10,0)</f>
        <v>652</v>
      </c>
      <c r="AI68" s="34">
        <f>ROUNDUP(AI25/'B1. MASTER AGENT INPUTS'!$B$10,0)</f>
        <v>676</v>
      </c>
      <c r="AJ68" s="34">
        <f>ROUNDUP(AJ25/'B1. MASTER AGENT INPUTS'!$B$10,0)</f>
        <v>701</v>
      </c>
      <c r="AK68" s="34">
        <f>ROUNDUP(AK25/'B1. MASTER AGENT INPUTS'!$B$10,0)</f>
        <v>726</v>
      </c>
    </row>
    <row r="69" spans="1:37" s="34" customFormat="1" ht="14" customHeight="1" outlineLevel="1">
      <c r="A69" s="385" t="s">
        <v>92</v>
      </c>
      <c r="B69" s="34">
        <v>0</v>
      </c>
      <c r="C69" s="129">
        <f>B71</f>
        <v>207</v>
      </c>
      <c r="D69" s="129">
        <f t="shared" ref="D69:F69" si="14">C71</f>
        <v>215</v>
      </c>
      <c r="E69" s="129">
        <f t="shared" si="14"/>
        <v>223</v>
      </c>
      <c r="F69" s="129">
        <f t="shared" si="14"/>
        <v>231</v>
      </c>
      <c r="G69" s="129">
        <f t="shared" ref="G69:AK69" si="15">F71</f>
        <v>239</v>
      </c>
      <c r="H69" s="129">
        <f t="shared" si="15"/>
        <v>248</v>
      </c>
      <c r="I69" s="129">
        <f t="shared" si="15"/>
        <v>257</v>
      </c>
      <c r="J69" s="129">
        <f t="shared" si="15"/>
        <v>267</v>
      </c>
      <c r="K69" s="129">
        <f t="shared" si="15"/>
        <v>276</v>
      </c>
      <c r="L69" s="129">
        <f t="shared" si="15"/>
        <v>286</v>
      </c>
      <c r="M69" s="129">
        <f>L71</f>
        <v>297</v>
      </c>
      <c r="N69" s="129">
        <f>M71</f>
        <v>308</v>
      </c>
      <c r="O69" s="129">
        <f t="shared" si="15"/>
        <v>319</v>
      </c>
      <c r="P69" s="129">
        <f t="shared" si="15"/>
        <v>330</v>
      </c>
      <c r="Q69" s="129">
        <f t="shared" si="15"/>
        <v>342</v>
      </c>
      <c r="R69" s="129">
        <f t="shared" si="15"/>
        <v>355</v>
      </c>
      <c r="S69" s="129">
        <f t="shared" si="15"/>
        <v>368</v>
      </c>
      <c r="T69" s="129">
        <f t="shared" si="15"/>
        <v>381</v>
      </c>
      <c r="U69" s="129">
        <f t="shared" si="15"/>
        <v>395</v>
      </c>
      <c r="V69" s="129">
        <f t="shared" si="15"/>
        <v>410</v>
      </c>
      <c r="W69" s="129">
        <f t="shared" si="15"/>
        <v>424</v>
      </c>
      <c r="X69" s="129">
        <f t="shared" si="15"/>
        <v>440</v>
      </c>
      <c r="Y69" s="129">
        <f t="shared" si="15"/>
        <v>456</v>
      </c>
      <c r="Z69" s="129">
        <f t="shared" si="15"/>
        <v>473</v>
      </c>
      <c r="AA69" s="129">
        <f t="shared" si="15"/>
        <v>490</v>
      </c>
      <c r="AB69" s="129">
        <f t="shared" si="15"/>
        <v>508</v>
      </c>
      <c r="AC69" s="129">
        <f t="shared" si="15"/>
        <v>526</v>
      </c>
      <c r="AD69" s="129">
        <f t="shared" si="15"/>
        <v>545</v>
      </c>
      <c r="AE69" s="129">
        <f t="shared" si="15"/>
        <v>565</v>
      </c>
      <c r="AF69" s="129">
        <f t="shared" si="15"/>
        <v>586</v>
      </c>
      <c r="AG69" s="129">
        <f t="shared" si="15"/>
        <v>607</v>
      </c>
      <c r="AH69" s="129">
        <f t="shared" si="15"/>
        <v>629</v>
      </c>
      <c r="AI69" s="129">
        <f t="shared" si="15"/>
        <v>652</v>
      </c>
      <c r="AJ69" s="129">
        <f t="shared" si="15"/>
        <v>676</v>
      </c>
      <c r="AK69" s="129">
        <f t="shared" si="15"/>
        <v>701</v>
      </c>
    </row>
    <row r="70" spans="1:37" s="34" customFormat="1" ht="14" customHeight="1" outlineLevel="1">
      <c r="A70" s="385" t="s">
        <v>93</v>
      </c>
      <c r="B70" s="34">
        <f>B68</f>
        <v>207</v>
      </c>
      <c r="C70" s="129">
        <f>ROUNDUP(C68-C69,0)</f>
        <v>8</v>
      </c>
      <c r="D70" s="129">
        <f t="shared" ref="D70:AK70" si="16">ROUNDUP(D68-D69,0)</f>
        <v>8</v>
      </c>
      <c r="E70" s="129">
        <f t="shared" si="16"/>
        <v>8</v>
      </c>
      <c r="F70" s="129">
        <f t="shared" si="16"/>
        <v>8</v>
      </c>
      <c r="G70" s="129">
        <f t="shared" si="16"/>
        <v>9</v>
      </c>
      <c r="H70" s="129">
        <f t="shared" si="16"/>
        <v>9</v>
      </c>
      <c r="I70" s="129">
        <f t="shared" si="16"/>
        <v>10</v>
      </c>
      <c r="J70" s="129">
        <f t="shared" si="16"/>
        <v>9</v>
      </c>
      <c r="K70" s="129">
        <f t="shared" si="16"/>
        <v>10</v>
      </c>
      <c r="L70" s="129">
        <f t="shared" si="16"/>
        <v>11</v>
      </c>
      <c r="M70" s="129">
        <f t="shared" si="16"/>
        <v>11</v>
      </c>
      <c r="N70" s="129">
        <f t="shared" si="16"/>
        <v>11</v>
      </c>
      <c r="O70" s="129">
        <f t="shared" si="16"/>
        <v>11</v>
      </c>
      <c r="P70" s="129">
        <f t="shared" si="16"/>
        <v>12</v>
      </c>
      <c r="Q70" s="129">
        <f t="shared" si="16"/>
        <v>13</v>
      </c>
      <c r="R70" s="129">
        <f t="shared" si="16"/>
        <v>13</v>
      </c>
      <c r="S70" s="129">
        <f t="shared" si="16"/>
        <v>13</v>
      </c>
      <c r="T70" s="129">
        <f t="shared" si="16"/>
        <v>14</v>
      </c>
      <c r="U70" s="129">
        <f t="shared" si="16"/>
        <v>15</v>
      </c>
      <c r="V70" s="129">
        <f t="shared" si="16"/>
        <v>14</v>
      </c>
      <c r="W70" s="129">
        <f t="shared" si="16"/>
        <v>16</v>
      </c>
      <c r="X70" s="129">
        <f t="shared" si="16"/>
        <v>16</v>
      </c>
      <c r="Y70" s="129">
        <f t="shared" si="16"/>
        <v>17</v>
      </c>
      <c r="Z70" s="129">
        <f t="shared" si="16"/>
        <v>17</v>
      </c>
      <c r="AA70" s="129">
        <f t="shared" si="16"/>
        <v>18</v>
      </c>
      <c r="AB70" s="129">
        <f t="shared" si="16"/>
        <v>18</v>
      </c>
      <c r="AC70" s="129">
        <f t="shared" si="16"/>
        <v>19</v>
      </c>
      <c r="AD70" s="129">
        <f t="shared" si="16"/>
        <v>20</v>
      </c>
      <c r="AE70" s="129">
        <f t="shared" si="16"/>
        <v>21</v>
      </c>
      <c r="AF70" s="129">
        <f t="shared" si="16"/>
        <v>21</v>
      </c>
      <c r="AG70" s="129">
        <f t="shared" si="16"/>
        <v>22</v>
      </c>
      <c r="AH70" s="129">
        <f t="shared" si="16"/>
        <v>23</v>
      </c>
      <c r="AI70" s="129">
        <f t="shared" si="16"/>
        <v>24</v>
      </c>
      <c r="AJ70" s="129">
        <f t="shared" si="16"/>
        <v>25</v>
      </c>
      <c r="AK70" s="129">
        <f t="shared" si="16"/>
        <v>25</v>
      </c>
    </row>
    <row r="71" spans="1:37" s="34" customFormat="1" ht="14" customHeight="1" outlineLevel="1">
      <c r="A71" s="385" t="s">
        <v>94</v>
      </c>
      <c r="B71" s="34">
        <f>B69+B70</f>
        <v>207</v>
      </c>
      <c r="C71" s="34">
        <f t="shared" ref="C71:AK71" si="17">C69+C70</f>
        <v>215</v>
      </c>
      <c r="D71" s="34">
        <f t="shared" si="17"/>
        <v>223</v>
      </c>
      <c r="E71" s="34">
        <f t="shared" si="17"/>
        <v>231</v>
      </c>
      <c r="F71" s="34">
        <f t="shared" si="17"/>
        <v>239</v>
      </c>
      <c r="G71" s="34">
        <f t="shared" si="17"/>
        <v>248</v>
      </c>
      <c r="H71" s="34">
        <f t="shared" si="17"/>
        <v>257</v>
      </c>
      <c r="I71" s="34">
        <f t="shared" si="17"/>
        <v>267</v>
      </c>
      <c r="J71" s="34">
        <f t="shared" si="17"/>
        <v>276</v>
      </c>
      <c r="K71" s="34">
        <f t="shared" si="17"/>
        <v>286</v>
      </c>
      <c r="L71" s="34">
        <f t="shared" si="17"/>
        <v>297</v>
      </c>
      <c r="M71" s="34">
        <f t="shared" si="17"/>
        <v>308</v>
      </c>
      <c r="N71" s="34">
        <f t="shared" si="17"/>
        <v>319</v>
      </c>
      <c r="O71" s="34">
        <f t="shared" si="17"/>
        <v>330</v>
      </c>
      <c r="P71" s="34">
        <f t="shared" si="17"/>
        <v>342</v>
      </c>
      <c r="Q71" s="34">
        <f t="shared" si="17"/>
        <v>355</v>
      </c>
      <c r="R71" s="34">
        <f t="shared" si="17"/>
        <v>368</v>
      </c>
      <c r="S71" s="34">
        <f t="shared" si="17"/>
        <v>381</v>
      </c>
      <c r="T71" s="34">
        <f t="shared" si="17"/>
        <v>395</v>
      </c>
      <c r="U71" s="34">
        <f t="shared" si="17"/>
        <v>410</v>
      </c>
      <c r="V71" s="34">
        <f t="shared" si="17"/>
        <v>424</v>
      </c>
      <c r="W71" s="34">
        <f t="shared" si="17"/>
        <v>440</v>
      </c>
      <c r="X71" s="34">
        <f t="shared" si="17"/>
        <v>456</v>
      </c>
      <c r="Y71" s="34">
        <f t="shared" si="17"/>
        <v>473</v>
      </c>
      <c r="Z71" s="34">
        <f t="shared" si="17"/>
        <v>490</v>
      </c>
      <c r="AA71" s="34">
        <f t="shared" si="17"/>
        <v>508</v>
      </c>
      <c r="AB71" s="34">
        <f t="shared" si="17"/>
        <v>526</v>
      </c>
      <c r="AC71" s="34">
        <f t="shared" si="17"/>
        <v>545</v>
      </c>
      <c r="AD71" s="34">
        <f t="shared" si="17"/>
        <v>565</v>
      </c>
      <c r="AE71" s="34">
        <f t="shared" si="17"/>
        <v>586</v>
      </c>
      <c r="AF71" s="34">
        <f t="shared" si="17"/>
        <v>607</v>
      </c>
      <c r="AG71" s="34">
        <f t="shared" si="17"/>
        <v>629</v>
      </c>
      <c r="AH71" s="34">
        <f t="shared" si="17"/>
        <v>652</v>
      </c>
      <c r="AI71" s="34">
        <f t="shared" si="17"/>
        <v>676</v>
      </c>
      <c r="AJ71" s="34">
        <f t="shared" si="17"/>
        <v>701</v>
      </c>
      <c r="AK71" s="34">
        <f t="shared" si="17"/>
        <v>726</v>
      </c>
    </row>
    <row r="72" spans="1:37" s="133" customFormat="1" ht="14" customHeight="1" outlineLevel="1">
      <c r="A72" s="386" t="s">
        <v>95</v>
      </c>
      <c r="B72" s="133">
        <f>-B70*'B1. MASTER AGENT INPUTS'!$B$8</f>
        <v>-4140</v>
      </c>
      <c r="C72" s="133">
        <f>-C70*'B1. MASTER AGENT INPUTS'!$B$8</f>
        <v>-160</v>
      </c>
      <c r="D72" s="133">
        <f>-D70*'B1. MASTER AGENT INPUTS'!$B$8</f>
        <v>-160</v>
      </c>
      <c r="E72" s="133">
        <f>-E70*'B1. MASTER AGENT INPUTS'!$B$8</f>
        <v>-160</v>
      </c>
      <c r="F72" s="133">
        <f>-F70*'B1. MASTER AGENT INPUTS'!$B$8</f>
        <v>-160</v>
      </c>
      <c r="G72" s="133">
        <f>-G70*'B1. MASTER AGENT INPUTS'!$B$8</f>
        <v>-180</v>
      </c>
      <c r="H72" s="133">
        <f>-H70*'B1. MASTER AGENT INPUTS'!$B$8</f>
        <v>-180</v>
      </c>
      <c r="I72" s="133">
        <f>-I70*'B1. MASTER AGENT INPUTS'!$B$8</f>
        <v>-200</v>
      </c>
      <c r="J72" s="133">
        <f>-J70*'B1. MASTER AGENT INPUTS'!$B$8</f>
        <v>-180</v>
      </c>
      <c r="K72" s="133">
        <f>-K70*'B1. MASTER AGENT INPUTS'!$B$8</f>
        <v>-200</v>
      </c>
      <c r="L72" s="133">
        <f>-L70*'B1. MASTER AGENT INPUTS'!$B$8</f>
        <v>-220</v>
      </c>
      <c r="M72" s="133">
        <f>-M70*'B1. MASTER AGENT INPUTS'!$B$8</f>
        <v>-220</v>
      </c>
      <c r="N72" s="133">
        <f>-N70*'B1. MASTER AGENT INPUTS'!$B$8</f>
        <v>-220</v>
      </c>
      <c r="O72" s="133">
        <f>-O70*'B1. MASTER AGENT INPUTS'!$B$8</f>
        <v>-220</v>
      </c>
      <c r="P72" s="133">
        <f>-P70*'B1. MASTER AGENT INPUTS'!$B$8</f>
        <v>-240</v>
      </c>
      <c r="Q72" s="133">
        <f>-Q70*'B1. MASTER AGENT INPUTS'!$B$8</f>
        <v>-260</v>
      </c>
      <c r="R72" s="133">
        <f>-R70*'B1. MASTER AGENT INPUTS'!$B$8</f>
        <v>-260</v>
      </c>
      <c r="S72" s="133">
        <f>-S70*'B1. MASTER AGENT INPUTS'!$B$8</f>
        <v>-260</v>
      </c>
      <c r="T72" s="133">
        <f>-T70*'B1. MASTER AGENT INPUTS'!$B$8</f>
        <v>-280</v>
      </c>
      <c r="U72" s="133">
        <f>-U70*'B1. MASTER AGENT INPUTS'!$B$8</f>
        <v>-300</v>
      </c>
      <c r="V72" s="133">
        <f>-V70*'B1. MASTER AGENT INPUTS'!$B$8</f>
        <v>-280</v>
      </c>
      <c r="W72" s="133">
        <f>-W70*'B1. MASTER AGENT INPUTS'!$B$8</f>
        <v>-320</v>
      </c>
      <c r="X72" s="133">
        <f>-X70*'B1. MASTER AGENT INPUTS'!$B$8</f>
        <v>-320</v>
      </c>
      <c r="Y72" s="133">
        <f>-Y70*'B1. MASTER AGENT INPUTS'!$B$8</f>
        <v>-340</v>
      </c>
      <c r="Z72" s="133">
        <f>-Z70*'B1. MASTER AGENT INPUTS'!$B$8</f>
        <v>-340</v>
      </c>
      <c r="AA72" s="133">
        <f>-AA70*'B1. MASTER AGENT INPUTS'!$B$8</f>
        <v>-360</v>
      </c>
      <c r="AB72" s="133">
        <f>-AB70*'B1. MASTER AGENT INPUTS'!$B$8</f>
        <v>-360</v>
      </c>
      <c r="AC72" s="133">
        <f>-AC70*'B1. MASTER AGENT INPUTS'!$B$8</f>
        <v>-380</v>
      </c>
      <c r="AD72" s="133">
        <f>-AD70*'B1. MASTER AGENT INPUTS'!$B$8</f>
        <v>-400</v>
      </c>
      <c r="AE72" s="133">
        <f>-AE70*'B1. MASTER AGENT INPUTS'!$B$8</f>
        <v>-420</v>
      </c>
      <c r="AF72" s="133">
        <f>-AF70*'B1. MASTER AGENT INPUTS'!$B$8</f>
        <v>-420</v>
      </c>
      <c r="AG72" s="133">
        <f>-AG70*'B1. MASTER AGENT INPUTS'!$B$8</f>
        <v>-440</v>
      </c>
      <c r="AH72" s="133">
        <f>-AH70*'B1. MASTER AGENT INPUTS'!$B$8</f>
        <v>-460</v>
      </c>
      <c r="AI72" s="133">
        <f>-AI70*'B1. MASTER AGENT INPUTS'!$B$8</f>
        <v>-480</v>
      </c>
      <c r="AJ72" s="133">
        <f>-AJ70*'B1. MASTER AGENT INPUTS'!$B$8</f>
        <v>-500</v>
      </c>
      <c r="AK72" s="133">
        <f>-AK70*'B1. MASTER AGENT INPUTS'!$B$8</f>
        <v>-500</v>
      </c>
    </row>
    <row r="73" spans="1:37" s="133" customFormat="1" ht="14" customHeight="1" outlineLevel="1">
      <c r="A73" s="386" t="s">
        <v>96</v>
      </c>
      <c r="B73" s="133">
        <f>-B71*'B1. MASTER AGENT INPUTS'!E5*'B1. MASTER AGENT INPUTS'!E6</f>
        <v>-31050</v>
      </c>
      <c r="C73" s="406">
        <f>-C70*'B1. MASTER AGENT INPUTS'!$E$5*'B1. MASTER AGENT INPUTS'!$E$6</f>
        <v>-1200</v>
      </c>
      <c r="D73" s="406">
        <f>-D70*'B1. MASTER AGENT INPUTS'!$E$5*'B1. MASTER AGENT INPUTS'!$E$6</f>
        <v>-1200</v>
      </c>
      <c r="E73" s="406">
        <f>-E70*'B1. MASTER AGENT INPUTS'!$E$5*'B1. MASTER AGENT INPUTS'!$E$6</f>
        <v>-1200</v>
      </c>
      <c r="F73" s="406">
        <f>-F70*'B1. MASTER AGENT INPUTS'!$E$5*'B1. MASTER AGENT INPUTS'!$E$6</f>
        <v>-1200</v>
      </c>
      <c r="G73" s="406">
        <f>-G70*'B1. MASTER AGENT INPUTS'!$E$5*'B1. MASTER AGENT INPUTS'!$E$6</f>
        <v>-1350</v>
      </c>
      <c r="H73" s="406">
        <f>-H70*'B1. MASTER AGENT INPUTS'!$E$5*'B1. MASTER AGENT INPUTS'!$E$6</f>
        <v>-1350</v>
      </c>
      <c r="I73" s="406">
        <f>-I70*'B1. MASTER AGENT INPUTS'!$E$5*'B1. MASTER AGENT INPUTS'!$E$6</f>
        <v>-1500</v>
      </c>
      <c r="J73" s="406">
        <f>-J70*'B1. MASTER AGENT INPUTS'!$E$5*'B1. MASTER AGENT INPUTS'!$E$6</f>
        <v>-1350</v>
      </c>
      <c r="K73" s="406">
        <f>-K70*'B1. MASTER AGENT INPUTS'!$E$5*'B1. MASTER AGENT INPUTS'!$E$6</f>
        <v>-1500</v>
      </c>
      <c r="L73" s="406">
        <f>-L70*'B1. MASTER AGENT INPUTS'!$E$5*'B1. MASTER AGENT INPUTS'!$E$6</f>
        <v>-1650</v>
      </c>
      <c r="M73" s="406">
        <f>-M70*'B1. MASTER AGENT INPUTS'!$E$5*'B1. MASTER AGENT INPUTS'!$E$6</f>
        <v>-1650</v>
      </c>
      <c r="N73" s="406">
        <f>-N70*'B1. MASTER AGENT INPUTS'!$E$5*'B1. MASTER AGENT INPUTS'!$E$6</f>
        <v>-1650</v>
      </c>
      <c r="O73" s="406">
        <f>-O70*'B1. MASTER AGENT INPUTS'!$E$5*'B1. MASTER AGENT INPUTS'!$E$6</f>
        <v>-1650</v>
      </c>
      <c r="P73" s="406">
        <f>-P70*'B1. MASTER AGENT INPUTS'!$E$5*'B1. MASTER AGENT INPUTS'!$E$6</f>
        <v>-1800</v>
      </c>
      <c r="Q73" s="406">
        <f>-Q70*'B1. MASTER AGENT INPUTS'!$E$5*'B1. MASTER AGENT INPUTS'!$E$6</f>
        <v>-1950</v>
      </c>
      <c r="R73" s="406">
        <f>-R70*'B1. MASTER AGENT INPUTS'!$E$5*'B1. MASTER AGENT INPUTS'!$E$6</f>
        <v>-1950</v>
      </c>
      <c r="S73" s="406">
        <f>-S70*'B1. MASTER AGENT INPUTS'!$E$5*'B1. MASTER AGENT INPUTS'!$E$6</f>
        <v>-1950</v>
      </c>
      <c r="T73" s="406">
        <f>-T70*'B1. MASTER AGENT INPUTS'!$E$5*'B1. MASTER AGENT INPUTS'!$E$6</f>
        <v>-2100</v>
      </c>
      <c r="U73" s="406">
        <f>-U70*'B1. MASTER AGENT INPUTS'!$E$5*'B1. MASTER AGENT INPUTS'!$E$6</f>
        <v>-2250</v>
      </c>
      <c r="V73" s="406">
        <f>-V70*'B1. MASTER AGENT INPUTS'!$E$5*'B1. MASTER AGENT INPUTS'!$E$6</f>
        <v>-2100</v>
      </c>
      <c r="W73" s="406">
        <f>-W70*'B1. MASTER AGENT INPUTS'!$E$5*'B1. MASTER AGENT INPUTS'!$E$6</f>
        <v>-2400</v>
      </c>
      <c r="X73" s="406">
        <f>-X70*'B1. MASTER AGENT INPUTS'!$E$5*'B1. MASTER AGENT INPUTS'!$E$6</f>
        <v>-2400</v>
      </c>
      <c r="Y73" s="406">
        <f>-Y70*'B1. MASTER AGENT INPUTS'!$E$5*'B1. MASTER AGENT INPUTS'!$E$6</f>
        <v>-2550</v>
      </c>
      <c r="Z73" s="406">
        <f>-Z70*'B1. MASTER AGENT INPUTS'!$E$5*'B1. MASTER AGENT INPUTS'!$E$6</f>
        <v>-2550</v>
      </c>
      <c r="AA73" s="406">
        <f>-AA70*'B1. MASTER AGENT INPUTS'!$E$5*'B1. MASTER AGENT INPUTS'!$E$6</f>
        <v>-2700</v>
      </c>
      <c r="AB73" s="406">
        <f>-AB70*'B1. MASTER AGENT INPUTS'!$E$5*'B1. MASTER AGENT INPUTS'!$E$6</f>
        <v>-2700</v>
      </c>
      <c r="AC73" s="406">
        <f>-AC70*'B1. MASTER AGENT INPUTS'!$E$5*'B1. MASTER AGENT INPUTS'!$E$6</f>
        <v>-2850</v>
      </c>
      <c r="AD73" s="406">
        <f>-AD70*'B1. MASTER AGENT INPUTS'!$E$5*'B1. MASTER AGENT INPUTS'!$E$6</f>
        <v>-3000</v>
      </c>
      <c r="AE73" s="406">
        <f>-AE70*'B1. MASTER AGENT INPUTS'!$E$5*'B1. MASTER AGENT INPUTS'!$E$6</f>
        <v>-3150</v>
      </c>
      <c r="AF73" s="406">
        <f>-AF70*'B1. MASTER AGENT INPUTS'!$E$5*'B1. MASTER AGENT INPUTS'!$E$6</f>
        <v>-3150</v>
      </c>
      <c r="AG73" s="406">
        <f>-AG70*'B1. MASTER AGENT INPUTS'!$E$5*'B1. MASTER AGENT INPUTS'!$E$6</f>
        <v>-3300</v>
      </c>
      <c r="AH73" s="406">
        <f>-AH70*'B1. MASTER AGENT INPUTS'!$E$5*'B1. MASTER AGENT INPUTS'!$E$6</f>
        <v>-3450</v>
      </c>
      <c r="AI73" s="406">
        <f>-AI70*'B1. MASTER AGENT INPUTS'!$E$5*'B1. MASTER AGENT INPUTS'!$E$6</f>
        <v>-3600</v>
      </c>
      <c r="AJ73" s="406">
        <f>-AJ70*'B1. MASTER AGENT INPUTS'!$E$5*'B1. MASTER AGENT INPUTS'!$E$6</f>
        <v>-3750</v>
      </c>
      <c r="AK73" s="406">
        <f>-AK70*'B1. MASTER AGENT INPUTS'!$E$5*'B1. MASTER AGENT INPUTS'!$E$6</f>
        <v>-3750</v>
      </c>
    </row>
    <row r="74" spans="1:37" s="130" customFormat="1" ht="14" customHeight="1" outlineLevel="1">
      <c r="A74" s="387" t="s">
        <v>97</v>
      </c>
      <c r="B74" s="133">
        <f>B71*('B1. MASTER AGENT INPUTS'!$B$11*'B4. AGENT BREAK EVEN'!$C$39)</f>
        <v>401.17841999999996</v>
      </c>
      <c r="C74" s="133">
        <f>C71*('B1. MASTER AGENT INPUTS'!$B$11*'B4. AGENT BREAK EVEN'!$C$39)</f>
        <v>416.6828999999999</v>
      </c>
      <c r="D74" s="133">
        <f>D71*('B1. MASTER AGENT INPUTS'!$B$11*'B4. AGENT BREAK EVEN'!$C$39)</f>
        <v>432.18737999999991</v>
      </c>
      <c r="E74" s="133">
        <f>E71*('B1. MASTER AGENT INPUTS'!$B$11*'B4. AGENT BREAK EVEN'!$C$39)</f>
        <v>447.69185999999991</v>
      </c>
      <c r="F74" s="133">
        <f>F71*('B1. MASTER AGENT INPUTS'!$B$11*'B4. AGENT BREAK EVEN'!$C$39)</f>
        <v>463.19633999999991</v>
      </c>
      <c r="G74" s="133">
        <f>G71*('B1. MASTER AGENT INPUTS'!$B$11*'B4. AGENT BREAK EVEN'!$C$39)</f>
        <v>480.63887999999992</v>
      </c>
      <c r="H74" s="133">
        <f>H71*('B1. MASTER AGENT INPUTS'!$B$11*'B4. AGENT BREAK EVEN'!$C$39)</f>
        <v>498.08141999999992</v>
      </c>
      <c r="I74" s="133">
        <f>I71*('B1. MASTER AGENT INPUTS'!$B$11*'B4. AGENT BREAK EVEN'!$C$39)</f>
        <v>517.46201999999994</v>
      </c>
      <c r="J74" s="133">
        <f>J71*('B1. MASTER AGENT INPUTS'!$B$11*'B4. AGENT BREAK EVEN'!$C$39)</f>
        <v>534.90455999999995</v>
      </c>
      <c r="K74" s="133">
        <f>K71*('B1. MASTER AGENT INPUTS'!$B$11*'B4. AGENT BREAK EVEN'!$C$39)</f>
        <v>554.28515999999991</v>
      </c>
      <c r="L74" s="133">
        <f>L71*('B1. MASTER AGENT INPUTS'!$B$11*'B4. AGENT BREAK EVEN'!$C$39)</f>
        <v>575.60381999999993</v>
      </c>
      <c r="M74" s="133">
        <f>M71*('B1. MASTER AGENT INPUTS'!$B$11*'B4. AGENT BREAK EVEN'!$C$39)</f>
        <v>596.92247999999995</v>
      </c>
      <c r="N74" s="133">
        <f>N71*('B1. MASTER AGENT INPUTS'!$B$11*'B4. AGENT BREAK EVEN'!$C$39)</f>
        <v>618.24113999999986</v>
      </c>
      <c r="O74" s="133">
        <f>O71*('B1. MASTER AGENT INPUTS'!$B$11*'B4. AGENT BREAK EVEN'!$C$39)</f>
        <v>639.55979999999988</v>
      </c>
      <c r="P74" s="133">
        <f>P71*('B1. MASTER AGENT INPUTS'!$B$11*'B4. AGENT BREAK EVEN'!$C$39)</f>
        <v>662.81651999999985</v>
      </c>
      <c r="Q74" s="133">
        <f>Q71*('B1. MASTER AGENT INPUTS'!$B$11*'B4. AGENT BREAK EVEN'!$C$39)</f>
        <v>688.01129999999989</v>
      </c>
      <c r="R74" s="133">
        <f>R71*('B1. MASTER AGENT INPUTS'!$B$11*'B4. AGENT BREAK EVEN'!$C$39)</f>
        <v>713.20607999999993</v>
      </c>
      <c r="S74" s="133">
        <f>S71*('B1. MASTER AGENT INPUTS'!$B$11*'B4. AGENT BREAK EVEN'!$C$39)</f>
        <v>738.40085999999985</v>
      </c>
      <c r="T74" s="133">
        <f>T71*('B1. MASTER AGENT INPUTS'!$B$11*'B4. AGENT BREAK EVEN'!$C$39)</f>
        <v>765.53369999999984</v>
      </c>
      <c r="U74" s="133">
        <f>U71*('B1. MASTER AGENT INPUTS'!$B$11*'B4. AGENT BREAK EVEN'!$C$39)</f>
        <v>794.60459999999989</v>
      </c>
      <c r="V74" s="133">
        <f>V71*('B1. MASTER AGENT INPUTS'!$B$11*'B4. AGENT BREAK EVEN'!$C$39)</f>
        <v>821.73743999999988</v>
      </c>
      <c r="W74" s="133">
        <f>W71*('B1. MASTER AGENT INPUTS'!$B$11*'B4. AGENT BREAK EVEN'!$C$39)</f>
        <v>852.74639999999988</v>
      </c>
      <c r="X74" s="133">
        <f>X71*('B1. MASTER AGENT INPUTS'!$B$11*'B4. AGENT BREAK EVEN'!$C$39)</f>
        <v>883.75535999999988</v>
      </c>
      <c r="Y74" s="133">
        <f>Y71*('B1. MASTER AGENT INPUTS'!$B$11*'B4. AGENT BREAK EVEN'!$C$39)</f>
        <v>916.70237999999983</v>
      </c>
      <c r="Z74" s="133">
        <f>Z71*('B1. MASTER AGENT INPUTS'!$B$11*'B4. AGENT BREAK EVEN'!$C$39)</f>
        <v>949.64939999999979</v>
      </c>
      <c r="AA74" s="133">
        <f>AA71*('B1. MASTER AGENT INPUTS'!$B$11*'B4. AGENT BREAK EVEN'!$C$39)</f>
        <v>984.5344799999998</v>
      </c>
      <c r="AB74" s="133">
        <f>AB71*('B1. MASTER AGENT INPUTS'!$B$11*'B4. AGENT BREAK EVEN'!$C$39)</f>
        <v>1019.4195599999998</v>
      </c>
      <c r="AC74" s="133">
        <f>AC71*('B1. MASTER AGENT INPUTS'!$B$11*'B4. AGENT BREAK EVEN'!$C$39)</f>
        <v>1056.2426999999998</v>
      </c>
      <c r="AD74" s="133">
        <f>AD71*('B1. MASTER AGENT INPUTS'!$B$11*'B4. AGENT BREAK EVEN'!$C$39)</f>
        <v>1095.0038999999997</v>
      </c>
      <c r="AE74" s="133">
        <f>AE71*('B1. MASTER AGENT INPUTS'!$B$11*'B4. AGENT BREAK EVEN'!$C$39)</f>
        <v>1135.7031599999998</v>
      </c>
      <c r="AF74" s="133">
        <f>AF71*('B1. MASTER AGENT INPUTS'!$B$11*'B4. AGENT BREAK EVEN'!$C$39)</f>
        <v>1176.4024199999999</v>
      </c>
      <c r="AG74" s="133">
        <f>AG71*('B1. MASTER AGENT INPUTS'!$B$11*'B4. AGENT BREAK EVEN'!$C$39)</f>
        <v>1219.0397399999997</v>
      </c>
      <c r="AH74" s="133">
        <f>AH71*('B1. MASTER AGENT INPUTS'!$B$11*'B4. AGENT BREAK EVEN'!$C$39)</f>
        <v>1263.6151199999997</v>
      </c>
      <c r="AI74" s="133">
        <f>AI71*('B1. MASTER AGENT INPUTS'!$B$11*'B4. AGENT BREAK EVEN'!$C$39)</f>
        <v>1310.1285599999999</v>
      </c>
      <c r="AJ74" s="133">
        <f>AJ71*('B1. MASTER AGENT INPUTS'!$B$11*'B4. AGENT BREAK EVEN'!$C$39)</f>
        <v>1358.5800599999998</v>
      </c>
      <c r="AK74" s="133">
        <f>AK71*('B1. MASTER AGENT INPUTS'!$B$11*'B4. AGENT BREAK EVEN'!$C$39)</f>
        <v>1407.0315599999997</v>
      </c>
    </row>
    <row r="75" spans="1:37" s="419" customFormat="1" ht="14" customHeight="1">
      <c r="A75" s="399" t="s">
        <v>273</v>
      </c>
      <c r="B75" s="397">
        <f t="shared" ref="B75:AK75" si="18">B66+B67+B72+B73+B74</f>
        <v>-40622.154913333332</v>
      </c>
      <c r="C75" s="397">
        <f t="shared" si="18"/>
        <v>-1776.6504333333337</v>
      </c>
      <c r="D75" s="397">
        <f t="shared" si="18"/>
        <v>-1761.1459533333336</v>
      </c>
      <c r="E75" s="397">
        <f t="shared" si="18"/>
        <v>-1745.6414733333336</v>
      </c>
      <c r="F75" s="397">
        <f t="shared" si="18"/>
        <v>-1730.1369933333335</v>
      </c>
      <c r="G75" s="397">
        <f t="shared" si="18"/>
        <v>-1882.6944533333335</v>
      </c>
      <c r="H75" s="397">
        <f t="shared" si="18"/>
        <v>-1865.2519133333335</v>
      </c>
      <c r="I75" s="397">
        <f t="shared" si="18"/>
        <v>-2015.8713133333335</v>
      </c>
      <c r="J75" s="397">
        <f t="shared" si="18"/>
        <v>-1828.4287733333335</v>
      </c>
      <c r="K75" s="397">
        <f t="shared" si="18"/>
        <v>-1979.0481733333336</v>
      </c>
      <c r="L75" s="397">
        <f t="shared" si="18"/>
        <v>-2127.7295133333337</v>
      </c>
      <c r="M75" s="397">
        <f t="shared" si="18"/>
        <v>-2106.4108533333338</v>
      </c>
      <c r="N75" s="397">
        <f t="shared" si="18"/>
        <v>-2085.0921933333339</v>
      </c>
      <c r="O75" s="397">
        <f t="shared" si="18"/>
        <v>-2063.7735333333335</v>
      </c>
      <c r="P75" s="397">
        <f t="shared" si="18"/>
        <v>-2210.5168133333336</v>
      </c>
      <c r="Q75" s="397">
        <f t="shared" si="18"/>
        <v>-2355.3220333333338</v>
      </c>
      <c r="R75" s="397">
        <f t="shared" si="18"/>
        <v>-2330.1272533333336</v>
      </c>
      <c r="S75" s="397">
        <f t="shared" si="18"/>
        <v>-2304.9324733333337</v>
      </c>
      <c r="T75" s="397">
        <f t="shared" si="18"/>
        <v>-2447.7996333333335</v>
      </c>
      <c r="U75" s="397">
        <f t="shared" si="18"/>
        <v>-2588.7287333333334</v>
      </c>
      <c r="V75" s="397">
        <f t="shared" si="18"/>
        <v>-2391.5958933333336</v>
      </c>
      <c r="W75" s="397">
        <f t="shared" si="18"/>
        <v>-2700.5869333333335</v>
      </c>
      <c r="X75" s="397">
        <f t="shared" si="18"/>
        <v>-2669.5779733333338</v>
      </c>
      <c r="Y75" s="397">
        <f t="shared" si="18"/>
        <v>-2806.6309533333338</v>
      </c>
      <c r="Z75" s="397">
        <f t="shared" si="18"/>
        <v>-2773.6839333333337</v>
      </c>
      <c r="AA75" s="397">
        <f t="shared" si="18"/>
        <v>-2908.7988533333337</v>
      </c>
      <c r="AB75" s="397">
        <f t="shared" si="18"/>
        <v>-2873.9137733333337</v>
      </c>
      <c r="AC75" s="397">
        <f t="shared" si="18"/>
        <v>-3007.0906333333337</v>
      </c>
      <c r="AD75" s="397">
        <f t="shared" si="18"/>
        <v>-3138.3294333333342</v>
      </c>
      <c r="AE75" s="397">
        <f t="shared" si="18"/>
        <v>-3267.6301733333339</v>
      </c>
      <c r="AF75" s="397">
        <f t="shared" si="18"/>
        <v>-3226.930913333334</v>
      </c>
      <c r="AG75" s="397">
        <f t="shared" si="18"/>
        <v>-3354.2935933333342</v>
      </c>
      <c r="AH75" s="397">
        <f t="shared" si="18"/>
        <v>-3479.7182133333345</v>
      </c>
      <c r="AI75" s="397">
        <f t="shared" si="18"/>
        <v>-3603.2047733333338</v>
      </c>
      <c r="AJ75" s="397">
        <f t="shared" si="18"/>
        <v>-3724.7532733333342</v>
      </c>
      <c r="AK75" s="397">
        <f t="shared" si="18"/>
        <v>-3676.3017733333345</v>
      </c>
    </row>
    <row r="76" spans="1:37" s="130" customFormat="1" ht="14" customHeight="1">
      <c r="A76" s="379"/>
      <c r="B76" s="192"/>
      <c r="C76" s="192"/>
      <c r="D76" s="192"/>
      <c r="E76" s="192"/>
      <c r="F76" s="192"/>
      <c r="G76" s="19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row>
    <row r="77" spans="1:37" s="292" customFormat="1" ht="14" customHeight="1">
      <c r="A77" s="407" t="s">
        <v>184</v>
      </c>
      <c r="B77" s="402">
        <f t="shared" ref="B77:AK77" si="19">B63+B75</f>
        <v>-51890.393975833329</v>
      </c>
      <c r="C77" s="402">
        <f t="shared" si="19"/>
        <v>-13456.180221614582</v>
      </c>
      <c r="D77" s="402">
        <f t="shared" si="19"/>
        <v>-13866.978578886847</v>
      </c>
      <c r="E77" s="402">
        <f t="shared" si="19"/>
        <v>-14293.336989719552</v>
      </c>
      <c r="F77" s="402">
        <f t="shared" si="19"/>
        <v>-14735.82339606765</v>
      </c>
      <c r="G77" s="402">
        <f t="shared" si="19"/>
        <v>-15363.08840976745</v>
      </c>
      <c r="H77" s="402">
        <f t="shared" si="19"/>
        <v>-15837.680249177298</v>
      </c>
      <c r="I77" s="402">
        <f t="shared" si="19"/>
        <v>-16498.293283435603</v>
      </c>
      <c r="J77" s="402">
        <f t="shared" si="19"/>
        <v>-16839.459145344335</v>
      </c>
      <c r="K77" s="402">
        <f t="shared" si="19"/>
        <v>-17537.981153922734</v>
      </c>
      <c r="L77" s="402">
        <f t="shared" si="19"/>
        <v>-18254.56354771425</v>
      </c>
      <c r="M77" s="402">
        <f t="shared" si="19"/>
        <v>-18821.874329969156</v>
      </c>
      <c r="N77" s="402">
        <f t="shared" si="19"/>
        <v>-19410.670086866361</v>
      </c>
      <c r="O77" s="402">
        <f t="shared" si="19"/>
        <v>-20021.735019980315</v>
      </c>
      <c r="P77" s="402">
        <f t="shared" si="19"/>
        <v>-20823.943894242933</v>
      </c>
      <c r="Q77" s="402">
        <f t="shared" si="19"/>
        <v>-21648.139202696133</v>
      </c>
      <c r="R77" s="402">
        <f t="shared" si="19"/>
        <v>-22327.132249377879</v>
      </c>
      <c r="S77" s="402">
        <f t="shared" si="19"/>
        <v>-23031.828151733505</v>
      </c>
      <c r="T77" s="402">
        <f t="shared" si="19"/>
        <v>-23931.227003995104</v>
      </c>
      <c r="U77" s="402">
        <f t="shared" si="19"/>
        <v>-24856.301203024261</v>
      </c>
      <c r="V77" s="402">
        <f t="shared" si="19"/>
        <v>-25471.934758167979</v>
      </c>
      <c r="W77" s="402">
        <f t="shared" si="19"/>
        <v>-26623.358166734448</v>
      </c>
      <c r="X77" s="402">
        <f t="shared" si="19"/>
        <v>-27465.530356753588</v>
      </c>
      <c r="Y77" s="402">
        <f t="shared" si="19"/>
        <v>-28507.635598748428</v>
      </c>
      <c r="Z77" s="402">
        <f t="shared" si="19"/>
        <v>-29412.775248306083</v>
      </c>
      <c r="AA77" s="402">
        <f t="shared" si="19"/>
        <v>-30520.217001302583</v>
      </c>
      <c r="AB77" s="402">
        <f t="shared" si="19"/>
        <v>-31493.148683703461</v>
      </c>
      <c r="AC77" s="402">
        <f t="shared" si="19"/>
        <v>-32670.927617931971</v>
      </c>
      <c r="AD77" s="402">
        <f t="shared" si="19"/>
        <v>-33884.896467869818</v>
      </c>
      <c r="AE77" s="402">
        <f t="shared" si="19"/>
        <v>-35136.4469046304</v>
      </c>
      <c r="AF77" s="402">
        <f t="shared" si="19"/>
        <v>-36258.959455322751</v>
      </c>
      <c r="AG77" s="402">
        <f t="shared" si="19"/>
        <v>-37591.991177105359</v>
      </c>
      <c r="AH77" s="402">
        <f t="shared" si="19"/>
        <v>-38967.091758913033</v>
      </c>
      <c r="AI77" s="402">
        <f t="shared" si="19"/>
        <v>-40385.867453326682</v>
      </c>
      <c r="AJ77" s="402">
        <f t="shared" si="19"/>
        <v>-41849.98314114644</v>
      </c>
      <c r="AK77" s="402">
        <f t="shared" si="19"/>
        <v>-43193.102531321616</v>
      </c>
    </row>
    <row r="78" spans="1:37" s="130" customFormat="1" ht="14" customHeight="1">
      <c r="A78" s="387"/>
      <c r="C78" s="132"/>
      <c r="D78" s="131"/>
      <c r="E78" s="131"/>
      <c r="F78" s="131"/>
      <c r="G78" s="131"/>
      <c r="H78" s="131"/>
    </row>
    <row r="79" spans="1:37" s="151" customFormat="1" ht="14" customHeight="1">
      <c r="A79" s="379" t="s">
        <v>380</v>
      </c>
      <c r="B79" s="397">
        <f>B75+B46</f>
        <v>-35634.489913333331</v>
      </c>
      <c r="C79" s="397">
        <f t="shared" ref="C79:AK79" si="20">C75+C46</f>
        <v>1333.7745666666665</v>
      </c>
      <c r="D79" s="397">
        <f t="shared" si="20"/>
        <v>1462.0390466666668</v>
      </c>
      <c r="E79" s="397">
        <f t="shared" si="20"/>
        <v>1590.3035266666666</v>
      </c>
      <c r="F79" s="397">
        <f t="shared" si="20"/>
        <v>1718.5680066666664</v>
      </c>
      <c r="G79" s="397">
        <f t="shared" si="20"/>
        <v>1702.8655466666669</v>
      </c>
      <c r="H79" s="397">
        <f t="shared" si="20"/>
        <v>1847.1630866666665</v>
      </c>
      <c r="I79" s="397">
        <f t="shared" si="20"/>
        <v>1847.4936866666671</v>
      </c>
      <c r="J79" s="397">
        <f t="shared" si="20"/>
        <v>2151.7912266666667</v>
      </c>
      <c r="K79" s="397">
        <f t="shared" si="20"/>
        <v>2152.1218266666665</v>
      </c>
      <c r="L79" s="397">
        <f t="shared" si="20"/>
        <v>2168.4854866666665</v>
      </c>
      <c r="M79" s="397">
        <f t="shared" si="20"/>
        <v>2344.8491466666665</v>
      </c>
      <c r="N79" s="397">
        <f t="shared" si="20"/>
        <v>2521.2128066666664</v>
      </c>
      <c r="O79" s="397">
        <f t="shared" si="20"/>
        <v>2697.5764666666669</v>
      </c>
      <c r="P79" s="397">
        <f t="shared" si="20"/>
        <v>2729.9731866666671</v>
      </c>
      <c r="Q79" s="397">
        <f t="shared" si="20"/>
        <v>2778.4029666666665</v>
      </c>
      <c r="R79" s="397">
        <f t="shared" si="20"/>
        <v>2986.8327466666674</v>
      </c>
      <c r="S79" s="397">
        <f t="shared" si="20"/>
        <v>3195.262526666666</v>
      </c>
      <c r="T79" s="397">
        <f t="shared" si="20"/>
        <v>3259.725366666667</v>
      </c>
      <c r="U79" s="397">
        <f t="shared" si="20"/>
        <v>3340.2212666666674</v>
      </c>
      <c r="V79" s="397">
        <f t="shared" si="20"/>
        <v>3724.684106666667</v>
      </c>
      <c r="W79" s="397">
        <f t="shared" si="20"/>
        <v>3661.2130666666676</v>
      </c>
      <c r="X79" s="397">
        <f t="shared" si="20"/>
        <v>3917.7420266666668</v>
      </c>
      <c r="Y79" s="397">
        <f t="shared" si="20"/>
        <v>4030.3040466666675</v>
      </c>
      <c r="Z79" s="397">
        <f t="shared" si="20"/>
        <v>4302.8660666666674</v>
      </c>
      <c r="AA79" s="397">
        <f t="shared" si="20"/>
        <v>4431.4611466666665</v>
      </c>
      <c r="AB79" s="397">
        <f t="shared" si="20"/>
        <v>4720.0562266666675</v>
      </c>
      <c r="AC79" s="397">
        <f t="shared" si="20"/>
        <v>4864.6843666666682</v>
      </c>
      <c r="AD79" s="397">
        <f t="shared" si="20"/>
        <v>5025.3455666666669</v>
      </c>
      <c r="AE79" s="397">
        <f t="shared" si="20"/>
        <v>5202.039826666668</v>
      </c>
      <c r="AF79" s="397">
        <f t="shared" si="20"/>
        <v>5538.7340866666673</v>
      </c>
      <c r="AG79" s="397">
        <f t="shared" si="20"/>
        <v>5731.4614066666672</v>
      </c>
      <c r="AH79" s="397">
        <f t="shared" si="20"/>
        <v>5940.2217866666679</v>
      </c>
      <c r="AI79" s="397">
        <f t="shared" si="20"/>
        <v>6165.0152266666673</v>
      </c>
      <c r="AJ79" s="397">
        <f t="shared" si="20"/>
        <v>6405.8417266666675</v>
      </c>
      <c r="AK79" s="397">
        <f t="shared" si="20"/>
        <v>6806.6682266666667</v>
      </c>
    </row>
    <row r="80" spans="1:37" ht="14" customHeight="1">
      <c r="A80" s="388"/>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row>
    <row r="81" spans="1:37" s="150" customFormat="1" ht="26" customHeight="1">
      <c r="A81" s="426" t="s">
        <v>279</v>
      </c>
      <c r="B81" s="402">
        <f t="shared" ref="B81:AK81" si="21">B48+B77</f>
        <v>696448.52102416672</v>
      </c>
      <c r="C81" s="402">
        <f t="shared" si="21"/>
        <v>762354.06540338555</v>
      </c>
      <c r="D81" s="402">
        <f t="shared" si="21"/>
        <v>790259.57049892575</v>
      </c>
      <c r="E81" s="402">
        <f t="shared" si="21"/>
        <v>819178.944876933</v>
      </c>
      <c r="F81" s="402">
        <f t="shared" si="21"/>
        <v>849149.19476621796</v>
      </c>
      <c r="G81" s="402">
        <f t="shared" si="21"/>
        <v>880064.71018294152</v>
      </c>
      <c r="H81" s="402">
        <f t="shared" si="21"/>
        <v>912269.21505216591</v>
      </c>
      <c r="I81" s="402">
        <f t="shared" si="21"/>
        <v>945499.95054890646</v>
      </c>
      <c r="J81" s="402">
        <f t="shared" si="21"/>
        <v>980247.56276437803</v>
      </c>
      <c r="K81" s="402">
        <f t="shared" si="21"/>
        <v>1015948.3890255046</v>
      </c>
      <c r="L81" s="402">
        <f t="shared" si="21"/>
        <v>1052968.3164382621</v>
      </c>
      <c r="M81" s="402">
        <f t="shared" si="21"/>
        <v>1091498.8739279953</v>
      </c>
      <c r="N81" s="402">
        <f t="shared" si="21"/>
        <v>1131429.3594925138</v>
      </c>
      <c r="O81" s="402">
        <f t="shared" si="21"/>
        <v>1172810.8705065476</v>
      </c>
      <c r="P81" s="402">
        <f t="shared" si="21"/>
        <v>1215552.4024590033</v>
      </c>
      <c r="Q81" s="402">
        <f t="shared" si="21"/>
        <v>1259868.8509074436</v>
      </c>
      <c r="R81" s="402">
        <f t="shared" si="21"/>
        <v>1305961.0820372815</v>
      </c>
      <c r="S81" s="402">
        <f t="shared" si="21"/>
        <v>1353728.0719163888</v>
      </c>
      <c r="T81" s="402">
        <f t="shared" si="21"/>
        <v>1403086.9822991139</v>
      </c>
      <c r="U81" s="402">
        <f t="shared" si="21"/>
        <v>1454261.1730771479</v>
      </c>
      <c r="V81" s="402">
        <f t="shared" si="21"/>
        <v>1507604.2506582309</v>
      </c>
      <c r="W81" s="402">
        <f t="shared" si="21"/>
        <v>1562432.3837973634</v>
      </c>
      <c r="X81" s="402">
        <f t="shared" si="21"/>
        <v>1619584.0604890338</v>
      </c>
      <c r="Y81" s="402">
        <f t="shared" si="21"/>
        <v>1678668.4431329099</v>
      </c>
      <c r="Z81" s="402">
        <f t="shared" si="21"/>
        <v>1740065.2972295578</v>
      </c>
      <c r="AA81" s="402">
        <f t="shared" si="21"/>
        <v>1803549.2210470033</v>
      </c>
      <c r="AB81" s="402">
        <f t="shared" si="21"/>
        <v>1869505.6143633656</v>
      </c>
      <c r="AC81" s="402">
        <f t="shared" si="21"/>
        <v>1937714.9153753547</v>
      </c>
      <c r="AD81" s="402">
        <f t="shared" si="21"/>
        <v>2008424.610007172</v>
      </c>
      <c r="AE81" s="402">
        <f t="shared" si="21"/>
        <v>2081725.377419251</v>
      </c>
      <c r="AF81" s="402">
        <f t="shared" si="21"/>
        <v>2157855.1735013789</v>
      </c>
      <c r="AG81" s="402">
        <f t="shared" si="21"/>
        <v>2236607.4508600165</v>
      </c>
      <c r="AH81" s="402">
        <f t="shared" si="21"/>
        <v>2318243.1848550639</v>
      </c>
      <c r="AI81" s="402">
        <f t="shared" si="21"/>
        <v>2402867.0364470608</v>
      </c>
      <c r="AJ81" s="402">
        <f t="shared" si="21"/>
        <v>2490587.4867216046</v>
      </c>
      <c r="AK81" s="402">
        <f t="shared" si="21"/>
        <v>2581660.9432639191</v>
      </c>
    </row>
    <row r="82" spans="1:37" s="425" customFormat="1" ht="14" customHeight="1">
      <c r="A82" s="423" t="s">
        <v>124</v>
      </c>
      <c r="B82" s="424">
        <f t="shared" ref="B82:AK82" si="22">B81/B22</f>
        <v>0.81814804231913862</v>
      </c>
      <c r="C82" s="424">
        <f t="shared" si="22"/>
        <v>0.86186804298394637</v>
      </c>
      <c r="D82" s="424">
        <f t="shared" si="22"/>
        <v>0.86195484463948957</v>
      </c>
      <c r="E82" s="424">
        <f t="shared" si="22"/>
        <v>0.86203366303320128</v>
      </c>
      <c r="F82" s="424">
        <f t="shared" si="22"/>
        <v>0.8621049527805037</v>
      </c>
      <c r="G82" s="424">
        <f t="shared" si="22"/>
        <v>0.86202812998421208</v>
      </c>
      <c r="H82" s="424">
        <f t="shared" si="22"/>
        <v>0.86210575609143347</v>
      </c>
      <c r="I82" s="424">
        <f t="shared" si="22"/>
        <v>0.86204458707038067</v>
      </c>
      <c r="J82" s="424">
        <f t="shared" si="22"/>
        <v>0.8622529392311794</v>
      </c>
      <c r="K82" s="424">
        <f t="shared" si="22"/>
        <v>0.86218656635022795</v>
      </c>
      <c r="L82" s="424">
        <f t="shared" si="22"/>
        <v>0.86213564822755129</v>
      </c>
      <c r="M82" s="424">
        <f t="shared" si="22"/>
        <v>0.86221244085672177</v>
      </c>
      <c r="N82" s="424">
        <f t="shared" si="22"/>
        <v>0.86228162330314329</v>
      </c>
      <c r="O82" s="424">
        <f t="shared" si="22"/>
        <v>0.86234363631844824</v>
      </c>
      <c r="P82" s="424">
        <f t="shared" si="22"/>
        <v>0.86229677080962608</v>
      </c>
      <c r="Q82" s="424">
        <f t="shared" si="22"/>
        <v>0.86226171947889063</v>
      </c>
      <c r="R82" s="424">
        <f t="shared" si="22"/>
        <v>0.86233238402639223</v>
      </c>
      <c r="S82" s="424">
        <f t="shared" si="22"/>
        <v>0.86239571365032219</v>
      </c>
      <c r="T82" s="424">
        <f t="shared" si="22"/>
        <v>0.86236365252580005</v>
      </c>
      <c r="U82" s="424">
        <f t="shared" si="22"/>
        <v>0.86234083242261172</v>
      </c>
      <c r="V82" s="424">
        <f t="shared" si="22"/>
        <v>0.86249103265209492</v>
      </c>
      <c r="W82" s="424">
        <f t="shared" si="22"/>
        <v>0.86238096213221493</v>
      </c>
      <c r="X82" s="424">
        <f t="shared" si="22"/>
        <v>0.86244640490865287</v>
      </c>
      <c r="Y82" s="424">
        <f t="shared" si="22"/>
        <v>0.86243076836831611</v>
      </c>
      <c r="Z82" s="424">
        <f t="shared" si="22"/>
        <v>0.86249295272946114</v>
      </c>
      <c r="AA82" s="424">
        <f t="shared" si="22"/>
        <v>0.86247934303271023</v>
      </c>
      <c r="AB82" s="424">
        <f t="shared" si="22"/>
        <v>0.86253786659246323</v>
      </c>
      <c r="AC82" s="424">
        <f t="shared" si="22"/>
        <v>0.86252555714183066</v>
      </c>
      <c r="AD82" s="424">
        <f t="shared" si="22"/>
        <v>0.86251829952862302</v>
      </c>
      <c r="AE82" s="424">
        <f t="shared" si="22"/>
        <v>0.86251551075286337</v>
      </c>
      <c r="AF82" s="424">
        <f t="shared" si="22"/>
        <v>0.86257420003773577</v>
      </c>
      <c r="AG82" s="424">
        <f t="shared" si="22"/>
        <v>0.86257056076486871</v>
      </c>
      <c r="AH82" s="424">
        <f t="shared" si="22"/>
        <v>0.86257039780850053</v>
      </c>
      <c r="AI82" s="424">
        <f t="shared" si="22"/>
        <v>0.86257326077139218</v>
      </c>
      <c r="AJ82" s="424">
        <f t="shared" si="22"/>
        <v>0.86257873406433494</v>
      </c>
      <c r="AK82" s="424">
        <f t="shared" si="22"/>
        <v>0.86263453977410354</v>
      </c>
    </row>
    <row r="83" spans="1:37" ht="14" customHeight="1">
      <c r="A83" s="13"/>
      <c r="B83" s="13"/>
      <c r="C83" s="13"/>
      <c r="D83" s="13"/>
      <c r="E83" s="13"/>
      <c r="F83" s="13"/>
      <c r="G83" s="13"/>
      <c r="H83" s="13"/>
      <c r="I83" s="13"/>
      <c r="J83" s="13"/>
      <c r="K83" s="13"/>
      <c r="L83" s="376"/>
      <c r="M83" s="377"/>
      <c r="N83" s="13"/>
      <c r="O83" s="13"/>
      <c r="P83" s="13"/>
      <c r="Q83" s="13"/>
      <c r="R83" s="13"/>
      <c r="S83" s="13"/>
      <c r="T83" s="13"/>
      <c r="U83" s="13"/>
      <c r="V83" s="13"/>
      <c r="W83" s="13"/>
      <c r="X83" s="13"/>
      <c r="Y83" s="13"/>
      <c r="Z83" s="13"/>
      <c r="AA83" s="13"/>
      <c r="AB83" s="13"/>
      <c r="AC83" s="13"/>
      <c r="AD83" s="13"/>
      <c r="AE83" s="13"/>
      <c r="AF83" s="13"/>
      <c r="AG83" s="13"/>
      <c r="AH83" s="13"/>
      <c r="AI83" s="13"/>
      <c r="AJ83" s="13"/>
      <c r="AK83" s="13"/>
    </row>
    <row r="84" spans="1:37" ht="14" customHeight="1">
      <c r="A84" s="13"/>
      <c r="B84" s="13"/>
      <c r="C84" s="13"/>
      <c r="D84" s="13"/>
      <c r="E84" s="13"/>
      <c r="F84" s="13"/>
      <c r="G84" s="13"/>
      <c r="H84" s="13"/>
      <c r="I84" s="13"/>
      <c r="J84" s="13"/>
      <c r="K84" s="13"/>
      <c r="L84" s="13"/>
      <c r="M84" s="81"/>
      <c r="N84" s="13"/>
      <c r="O84" s="13"/>
      <c r="P84" s="13"/>
      <c r="Q84" s="13"/>
      <c r="R84" s="13"/>
      <c r="S84" s="13"/>
      <c r="T84" s="13"/>
      <c r="U84" s="13"/>
      <c r="V84" s="13"/>
      <c r="W84" s="13"/>
      <c r="X84" s="13"/>
      <c r="Y84" s="13"/>
      <c r="Z84" s="13"/>
      <c r="AA84" s="13"/>
      <c r="AB84" s="13"/>
      <c r="AC84" s="13"/>
      <c r="AD84" s="13"/>
      <c r="AE84" s="13"/>
      <c r="AF84" s="13"/>
      <c r="AG84" s="13"/>
      <c r="AH84" s="13"/>
      <c r="AI84" s="13"/>
      <c r="AJ84" s="13"/>
      <c r="AK84" s="13"/>
    </row>
    <row r="85" spans="1:37" s="134" customFormat="1" ht="14" customHeight="1">
      <c r="A85" s="138"/>
      <c r="B85" s="135"/>
      <c r="C85" s="136"/>
      <c r="D85" s="136"/>
      <c r="E85" s="136"/>
      <c r="F85" s="136"/>
      <c r="G85" s="136"/>
      <c r="H85" s="136"/>
      <c r="I85" s="136"/>
    </row>
    <row r="86" spans="1:37" s="134" customFormat="1" ht="14" customHeight="1">
      <c r="A86" s="137"/>
      <c r="B86" s="135"/>
      <c r="C86" s="136"/>
      <c r="D86" s="136"/>
      <c r="E86" s="136"/>
      <c r="F86" s="136"/>
      <c r="G86" s="136"/>
      <c r="H86" s="136"/>
      <c r="I86" s="136"/>
    </row>
    <row r="87" spans="1:37" s="5" customFormat="1" ht="14" customHeight="1">
      <c r="A87" s="125"/>
      <c r="B87" s="11"/>
      <c r="C87" s="41"/>
      <c r="D87" s="41"/>
      <c r="E87" s="41"/>
      <c r="F87" s="41"/>
      <c r="G87" s="41"/>
      <c r="H87" s="41"/>
      <c r="I87" s="41"/>
    </row>
    <row r="88" spans="1:37" s="5" customFormat="1" ht="14" customHeight="1">
      <c r="A88" s="29"/>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row>
    <row r="89" spans="1:37" s="5" customFormat="1" ht="14" customHeight="1">
      <c r="A89" s="29"/>
      <c r="B89" s="18"/>
    </row>
    <row r="90" spans="1:37" s="5" customFormat="1" ht="14" customHeight="1">
      <c r="A90" s="17"/>
      <c r="B90" s="42"/>
    </row>
    <row r="91" spans="1:37" s="5" customFormat="1" ht="14" customHeight="1">
      <c r="A91" s="50"/>
      <c r="B91" s="8"/>
      <c r="C91" s="45"/>
      <c r="D91" s="43"/>
      <c r="E91" s="45"/>
      <c r="F91" s="43"/>
      <c r="G91" s="43"/>
      <c r="H91" s="43"/>
      <c r="I91" s="43"/>
      <c r="J91" s="37"/>
      <c r="K91" s="37"/>
      <c r="L91" s="37"/>
      <c r="M91" s="37"/>
      <c r="N91" s="37"/>
      <c r="O91" s="37"/>
      <c r="P91" s="37"/>
    </row>
    <row r="92" spans="1:37" s="5" customFormat="1" ht="14" customHeight="1">
      <c r="A92" s="10"/>
      <c r="B92" s="8"/>
      <c r="C92" s="8"/>
      <c r="D92" s="8"/>
      <c r="E92" s="8"/>
      <c r="F92" s="8"/>
      <c r="G92" s="8"/>
      <c r="H92" s="8"/>
      <c r="I92" s="8"/>
      <c r="J92" s="37"/>
      <c r="K92" s="37"/>
      <c r="L92" s="37"/>
      <c r="M92" s="37"/>
      <c r="N92" s="37"/>
      <c r="O92" s="37"/>
      <c r="P92" s="37"/>
    </row>
    <row r="93" spans="1:37" s="5" customFormat="1" ht="14" customHeight="1">
      <c r="A93" s="46"/>
      <c r="B93" s="11"/>
      <c r="C93" s="41"/>
      <c r="D93" s="41"/>
      <c r="E93" s="41"/>
      <c r="F93" s="41"/>
      <c r="G93" s="41"/>
      <c r="H93" s="41"/>
      <c r="I93" s="41"/>
      <c r="J93" s="37"/>
      <c r="K93" s="37"/>
      <c r="L93" s="37"/>
      <c r="M93" s="37"/>
      <c r="N93" s="37"/>
      <c r="O93" s="37"/>
      <c r="P93" s="37"/>
    </row>
    <row r="94" spans="1:37" s="5" customFormat="1" ht="14" customHeight="1">
      <c r="A94" s="46"/>
      <c r="B94" s="11"/>
      <c r="C94" s="41"/>
      <c r="D94" s="41"/>
      <c r="E94" s="41"/>
      <c r="F94" s="41"/>
      <c r="G94" s="41"/>
      <c r="H94" s="41"/>
      <c r="I94" s="41"/>
      <c r="J94" s="37"/>
      <c r="K94" s="37"/>
      <c r="L94" s="37"/>
      <c r="M94" s="37"/>
      <c r="N94" s="37"/>
      <c r="O94" s="37"/>
      <c r="P94" s="37"/>
    </row>
    <row r="95" spans="1:37" s="5" customFormat="1" ht="14" customHeight="1">
      <c r="A95" s="46"/>
      <c r="B95" s="11"/>
      <c r="C95" s="11"/>
      <c r="D95" s="41"/>
      <c r="E95" s="11"/>
      <c r="F95" s="41"/>
      <c r="G95" s="41"/>
      <c r="H95" s="41"/>
      <c r="I95" s="41"/>
      <c r="J95" s="37"/>
      <c r="K95" s="37"/>
      <c r="L95" s="37"/>
      <c r="M95" s="37"/>
      <c r="N95" s="37"/>
      <c r="O95" s="37"/>
      <c r="P95" s="37"/>
    </row>
    <row r="96" spans="1:37" s="5" customFormat="1" ht="14" customHeight="1">
      <c r="A96" s="4"/>
      <c r="B96" s="11"/>
      <c r="C96" s="40"/>
      <c r="D96" s="40"/>
      <c r="E96" s="40"/>
      <c r="F96" s="40"/>
      <c r="G96" s="40"/>
      <c r="H96" s="40"/>
      <c r="I96" s="40"/>
      <c r="J96" s="37"/>
      <c r="K96" s="37"/>
      <c r="L96" s="37"/>
      <c r="M96" s="37"/>
      <c r="N96" s="37"/>
      <c r="O96" s="37"/>
      <c r="P96" s="37"/>
    </row>
    <row r="97" spans="1:16" s="5" customFormat="1" ht="14" customHeight="1">
      <c r="A97" s="10"/>
      <c r="B97" s="11"/>
      <c r="C97" s="41"/>
      <c r="D97" s="41"/>
      <c r="I97" s="37"/>
      <c r="J97" s="37"/>
      <c r="K97" s="37"/>
      <c r="L97" s="37"/>
      <c r="M97" s="37"/>
      <c r="N97" s="37"/>
      <c r="O97" s="37"/>
      <c r="P97" s="37"/>
    </row>
    <row r="98" spans="1:16" s="5" customFormat="1" ht="14" customHeight="1">
      <c r="A98" s="10"/>
      <c r="B98" s="11"/>
      <c r="C98" s="41"/>
      <c r="D98" s="41"/>
      <c r="I98" s="37"/>
      <c r="J98" s="37"/>
      <c r="K98" s="37"/>
      <c r="L98" s="37"/>
      <c r="M98" s="37"/>
      <c r="N98" s="37"/>
      <c r="O98" s="37"/>
      <c r="P98" s="37"/>
    </row>
    <row r="99" spans="1:16" s="5" customFormat="1" ht="14" customHeight="1">
      <c r="A99" s="46"/>
      <c r="B99" s="11"/>
      <c r="C99" s="51"/>
      <c r="D99" s="51"/>
      <c r="E99" s="51"/>
      <c r="F99" s="51"/>
      <c r="G99" s="51"/>
      <c r="H99" s="51"/>
      <c r="I99" s="51"/>
      <c r="J99" s="37"/>
      <c r="K99" s="37"/>
      <c r="L99" s="37"/>
      <c r="M99" s="37"/>
      <c r="N99" s="37"/>
      <c r="O99" s="37"/>
      <c r="P99" s="37"/>
    </row>
    <row r="100" spans="1:16" s="5" customFormat="1" ht="14" customHeight="1">
      <c r="A100" s="46"/>
      <c r="B100" s="11"/>
      <c r="C100" s="51"/>
      <c r="D100" s="51"/>
      <c r="E100" s="51"/>
      <c r="F100" s="51"/>
      <c r="G100" s="51"/>
      <c r="H100" s="51"/>
      <c r="I100" s="51"/>
      <c r="J100" s="37"/>
      <c r="K100" s="37"/>
      <c r="L100" s="37"/>
      <c r="M100" s="37"/>
      <c r="N100" s="37"/>
      <c r="O100" s="37"/>
      <c r="P100" s="37"/>
    </row>
    <row r="101" spans="1:16" s="5" customFormat="1" ht="14" customHeight="1">
      <c r="A101" s="46"/>
      <c r="B101" s="11"/>
      <c r="C101" s="51"/>
      <c r="D101" s="51"/>
      <c r="E101" s="51"/>
      <c r="F101" s="51"/>
      <c r="G101" s="51"/>
      <c r="H101" s="51"/>
      <c r="I101" s="51"/>
      <c r="J101" s="37"/>
      <c r="K101" s="37"/>
      <c r="L101" s="37"/>
      <c r="M101" s="37"/>
      <c r="N101" s="37"/>
      <c r="O101" s="37"/>
      <c r="P101" s="37"/>
    </row>
    <row r="102" spans="1:16" s="5" customFormat="1" ht="14" customHeight="1">
      <c r="A102" s="4"/>
      <c r="B102" s="11"/>
      <c r="C102" s="52"/>
      <c r="D102" s="40"/>
      <c r="E102" s="52"/>
      <c r="F102" s="52"/>
      <c r="G102" s="52"/>
      <c r="H102" s="52"/>
      <c r="I102" s="52"/>
      <c r="J102" s="37"/>
      <c r="K102" s="37"/>
      <c r="L102" s="37"/>
      <c r="M102" s="37"/>
      <c r="N102" s="37"/>
      <c r="O102" s="37"/>
      <c r="P102" s="37"/>
    </row>
    <row r="103" spans="1:16" s="5" customFormat="1" ht="14" customHeight="1">
      <c r="A103" s="10"/>
      <c r="B103" s="11"/>
      <c r="C103" s="41"/>
      <c r="D103" s="41"/>
      <c r="E103" s="41"/>
      <c r="F103" s="41"/>
      <c r="G103" s="41"/>
      <c r="H103" s="41"/>
      <c r="I103" s="41"/>
      <c r="J103" s="37"/>
      <c r="K103" s="37"/>
      <c r="L103" s="37"/>
      <c r="M103" s="37"/>
      <c r="N103" s="37"/>
      <c r="O103" s="37"/>
      <c r="P103" s="37"/>
    </row>
    <row r="104" spans="1:16" s="5" customFormat="1" ht="14" customHeight="1">
      <c r="A104" s="10"/>
      <c r="B104" s="11"/>
      <c r="C104" s="41"/>
      <c r="D104" s="41"/>
      <c r="E104" s="41"/>
      <c r="F104" s="41"/>
      <c r="G104" s="41"/>
      <c r="H104" s="41"/>
      <c r="I104" s="41"/>
      <c r="J104" s="37"/>
      <c r="K104" s="37"/>
      <c r="L104" s="37"/>
      <c r="M104" s="37"/>
      <c r="N104" s="37"/>
      <c r="O104" s="37"/>
      <c r="P104" s="37"/>
    </row>
    <row r="105" spans="1:16" s="5" customFormat="1" ht="14" customHeight="1">
      <c r="A105" s="46"/>
      <c r="B105" s="11"/>
      <c r="C105" s="51"/>
      <c r="D105" s="51"/>
      <c r="E105" s="51"/>
      <c r="F105" s="51"/>
      <c r="G105" s="51"/>
      <c r="H105" s="51"/>
      <c r="I105" s="51"/>
      <c r="J105" s="37"/>
      <c r="K105" s="37"/>
      <c r="L105" s="37"/>
      <c r="M105" s="37"/>
      <c r="N105" s="37"/>
      <c r="O105" s="37"/>
      <c r="P105" s="37"/>
    </row>
    <row r="106" spans="1:16" s="5" customFormat="1" ht="14" customHeight="1">
      <c r="A106" s="46"/>
      <c r="B106" s="11"/>
      <c r="C106" s="51"/>
      <c r="D106" s="51"/>
      <c r="E106" s="51"/>
      <c r="F106" s="51"/>
      <c r="G106" s="51"/>
      <c r="H106" s="51"/>
      <c r="I106" s="51"/>
      <c r="J106" s="37"/>
      <c r="K106" s="37"/>
      <c r="L106" s="37"/>
      <c r="M106" s="37"/>
      <c r="N106" s="37"/>
      <c r="O106" s="37"/>
      <c r="P106" s="37"/>
    </row>
    <row r="107" spans="1:16" s="5" customFormat="1" ht="14" customHeight="1">
      <c r="A107" s="46"/>
      <c r="B107" s="11"/>
      <c r="C107" s="51"/>
      <c r="D107" s="51"/>
      <c r="E107" s="51"/>
      <c r="F107" s="51"/>
      <c r="G107" s="51"/>
      <c r="H107" s="51"/>
      <c r="I107" s="51"/>
      <c r="J107" s="37"/>
      <c r="K107" s="37"/>
      <c r="L107" s="37"/>
      <c r="M107" s="37"/>
      <c r="N107" s="37"/>
      <c r="O107" s="37"/>
      <c r="P107" s="37"/>
    </row>
    <row r="108" spans="1:16" s="5" customFormat="1" ht="14" customHeight="1">
      <c r="A108" s="4"/>
      <c r="B108" s="11"/>
      <c r="C108" s="52"/>
      <c r="D108" s="52"/>
      <c r="E108" s="52"/>
      <c r="F108" s="52"/>
      <c r="G108" s="52"/>
      <c r="H108" s="52"/>
      <c r="I108" s="52"/>
      <c r="J108" s="37"/>
      <c r="K108" s="37"/>
      <c r="L108" s="37"/>
      <c r="M108" s="37"/>
      <c r="N108" s="37"/>
      <c r="O108" s="37"/>
      <c r="P108" s="37"/>
    </row>
    <row r="109" spans="1:16" s="5" customFormat="1" ht="14" customHeight="1">
      <c r="A109" s="4"/>
      <c r="B109" s="11"/>
      <c r="C109" s="41"/>
      <c r="D109" s="53"/>
      <c r="E109" s="53"/>
      <c r="F109" s="54"/>
      <c r="G109" s="37"/>
      <c r="H109" s="37"/>
      <c r="I109" s="37"/>
      <c r="J109" s="37"/>
      <c r="K109" s="37"/>
      <c r="L109" s="37"/>
      <c r="M109" s="37"/>
      <c r="N109" s="37"/>
    </row>
    <row r="110" spans="1:16" s="5" customFormat="1" ht="14" customHeight="1">
      <c r="A110" s="18"/>
      <c r="B110" s="18"/>
    </row>
    <row r="111" spans="1:16" s="5" customFormat="1" ht="14" customHeight="1">
      <c r="A111" s="18"/>
      <c r="B111" s="18"/>
    </row>
    <row r="112" spans="1:16" s="5" customFormat="1" ht="14" customHeight="1">
      <c r="A112" s="19"/>
      <c r="B112" s="8"/>
      <c r="C112" s="8"/>
      <c r="D112" s="44"/>
    </row>
    <row r="113" spans="1:6" s="5" customFormat="1" ht="14" customHeight="1">
      <c r="A113" s="55"/>
      <c r="B113" s="8"/>
      <c r="C113" s="56"/>
    </row>
    <row r="114" spans="1:6" s="5" customFormat="1" ht="14" customHeight="1">
      <c r="A114" s="55"/>
      <c r="B114" s="8"/>
      <c r="C114" s="56"/>
    </row>
    <row r="115" spans="1:6" s="5" customFormat="1" ht="14" customHeight="1">
      <c r="A115" s="55"/>
      <c r="B115" s="8"/>
      <c r="C115" s="56"/>
    </row>
    <row r="116" spans="1:6" s="5" customFormat="1" ht="14" customHeight="1">
      <c r="A116" s="57"/>
      <c r="B116" s="8"/>
      <c r="C116" s="36"/>
      <c r="D116" s="42"/>
    </row>
    <row r="117" spans="1:6" s="5" customFormat="1" ht="14" customHeight="1">
      <c r="A117" s="42"/>
      <c r="B117" s="42"/>
    </row>
    <row r="118" spans="1:6" s="5" customFormat="1" ht="14" customHeight="1">
      <c r="A118" s="10"/>
      <c r="B118" s="8"/>
      <c r="C118" s="45"/>
      <c r="D118" s="8"/>
      <c r="E118" s="8"/>
      <c r="F118" s="8"/>
    </row>
    <row r="119" spans="1:6" s="5" customFormat="1" ht="14" customHeight="1">
      <c r="A119" s="10"/>
      <c r="B119" s="8"/>
      <c r="C119" s="8"/>
      <c r="D119" s="8"/>
      <c r="E119" s="8"/>
      <c r="F119" s="8"/>
    </row>
    <row r="120" spans="1:6" s="5" customFormat="1" ht="14" customHeight="1">
      <c r="A120" s="46"/>
      <c r="B120" s="11"/>
      <c r="C120" s="41"/>
      <c r="D120" s="11"/>
      <c r="E120" s="56"/>
      <c r="F120" s="56"/>
    </row>
    <row r="121" spans="1:6" s="5" customFormat="1" ht="14" customHeight="1">
      <c r="A121" s="46"/>
      <c r="B121" s="11"/>
      <c r="C121" s="41"/>
      <c r="D121" s="11"/>
      <c r="E121" s="56"/>
      <c r="F121" s="56"/>
    </row>
    <row r="122" spans="1:6" s="5" customFormat="1" ht="14" customHeight="1">
      <c r="A122" s="46"/>
      <c r="B122" s="11"/>
      <c r="C122" s="41"/>
      <c r="D122" s="11"/>
      <c r="E122" s="56"/>
      <c r="F122" s="56"/>
    </row>
    <row r="123" spans="1:6" s="5" customFormat="1" ht="14" customHeight="1">
      <c r="A123" s="4"/>
      <c r="B123" s="8"/>
      <c r="C123" s="40"/>
      <c r="D123" s="8"/>
      <c r="E123" s="36"/>
      <c r="F123" s="36"/>
    </row>
    <row r="124" spans="1:6" s="5" customFormat="1" ht="14" customHeight="1">
      <c r="A124" s="10"/>
      <c r="B124" s="8"/>
      <c r="C124" s="40"/>
      <c r="D124" s="8"/>
      <c r="E124" s="36"/>
      <c r="F124" s="36"/>
    </row>
    <row r="125" spans="1:6" s="5" customFormat="1" ht="14" customHeight="1">
      <c r="A125" s="10"/>
      <c r="B125" s="8"/>
      <c r="C125" s="45"/>
    </row>
    <row r="126" spans="1:6" s="5" customFormat="1" ht="14" customHeight="1">
      <c r="A126" s="10"/>
      <c r="B126" s="8"/>
      <c r="C126" s="8"/>
    </row>
    <row r="127" spans="1:6" s="5" customFormat="1" ht="14" customHeight="1">
      <c r="A127" s="46"/>
      <c r="B127" s="11"/>
      <c r="C127" s="41"/>
    </row>
    <row r="128" spans="1:6" s="5" customFormat="1" ht="14" customHeight="1">
      <c r="A128" s="46"/>
      <c r="B128" s="11"/>
      <c r="C128" s="41"/>
    </row>
    <row r="129" spans="1:25" s="5" customFormat="1" ht="14" customHeight="1">
      <c r="A129" s="46"/>
      <c r="B129" s="11"/>
      <c r="C129" s="41"/>
    </row>
    <row r="130" spans="1:25" s="5" customFormat="1" ht="14" customHeight="1">
      <c r="A130" s="4"/>
      <c r="B130" s="8"/>
      <c r="C130" s="40"/>
    </row>
    <row r="131" spans="1:25" s="5" customFormat="1" ht="14" customHeight="1">
      <c r="A131" s="10"/>
      <c r="B131" s="8"/>
      <c r="C131" s="40"/>
      <c r="D131" s="8"/>
      <c r="E131" s="36"/>
      <c r="F131" s="36"/>
    </row>
    <row r="132" spans="1:25" s="5" customFormat="1" ht="14" customHeight="1">
      <c r="A132" s="18"/>
      <c r="B132" s="18"/>
    </row>
    <row r="133" spans="1:25" s="5" customFormat="1" ht="14" customHeight="1">
      <c r="A133" s="10"/>
      <c r="B133" s="42"/>
    </row>
    <row r="134" spans="1:25" s="5" customFormat="1" ht="14" customHeight="1">
      <c r="A134" s="10"/>
      <c r="B134" s="42"/>
    </row>
    <row r="135" spans="1:25" s="13" customFormat="1" ht="14" customHeight="1">
      <c r="A135" s="14"/>
      <c r="B135" s="58"/>
      <c r="C135" s="59"/>
      <c r="D135" s="59"/>
      <c r="E135" s="59"/>
      <c r="F135" s="59"/>
      <c r="G135" s="14"/>
      <c r="H135" s="14"/>
      <c r="I135" s="14"/>
      <c r="J135" s="14"/>
      <c r="K135" s="14"/>
      <c r="L135" s="14"/>
      <c r="M135" s="14"/>
      <c r="N135" s="14"/>
      <c r="O135" s="14"/>
      <c r="P135" s="14"/>
      <c r="Q135" s="14"/>
      <c r="R135" s="14"/>
      <c r="S135" s="14"/>
      <c r="T135" s="14"/>
      <c r="U135" s="14"/>
      <c r="V135" s="14"/>
      <c r="W135" s="14"/>
      <c r="X135" s="14"/>
      <c r="Y135" s="14"/>
    </row>
    <row r="136" spans="1:25" s="13" customFormat="1" ht="14" customHeight="1">
      <c r="A136" s="58"/>
      <c r="B136" s="58"/>
      <c r="C136" s="58"/>
      <c r="D136" s="58"/>
      <c r="E136" s="58"/>
      <c r="F136" s="58"/>
      <c r="G136" s="5"/>
      <c r="H136" s="5"/>
      <c r="I136" s="5"/>
      <c r="J136" s="5"/>
      <c r="K136" s="5"/>
      <c r="L136" s="14"/>
      <c r="M136" s="14"/>
      <c r="N136" s="14"/>
      <c r="O136" s="14"/>
      <c r="P136" s="14"/>
      <c r="Q136" s="14"/>
      <c r="R136" s="14"/>
      <c r="S136" s="14"/>
      <c r="T136" s="14"/>
      <c r="U136" s="14"/>
      <c r="V136" s="14"/>
      <c r="W136" s="14"/>
      <c r="X136" s="14"/>
      <c r="Y136" s="14"/>
    </row>
    <row r="137" spans="1:25" s="13" customFormat="1" ht="14" customHeight="1">
      <c r="A137" s="14"/>
      <c r="B137" s="60"/>
      <c r="C137" s="61"/>
      <c r="D137" s="62"/>
      <c r="E137" s="61"/>
      <c r="F137" s="61"/>
      <c r="G137" s="5"/>
      <c r="H137" s="5"/>
      <c r="I137" s="5"/>
      <c r="J137" s="5"/>
      <c r="K137" s="5"/>
      <c r="L137" s="14"/>
      <c r="M137" s="14"/>
      <c r="N137" s="14"/>
      <c r="O137" s="14"/>
      <c r="P137" s="14"/>
      <c r="Q137" s="14"/>
      <c r="R137" s="14"/>
      <c r="S137" s="14"/>
      <c r="T137" s="14"/>
      <c r="U137" s="14"/>
      <c r="V137" s="14"/>
      <c r="W137" s="14"/>
      <c r="X137" s="14"/>
      <c r="Y137" s="14"/>
    </row>
    <row r="138" spans="1:25" s="13" customFormat="1" ht="14" customHeight="1">
      <c r="A138" s="63"/>
      <c r="B138" s="60"/>
      <c r="C138" s="64"/>
      <c r="D138" s="65"/>
      <c r="E138" s="66"/>
      <c r="F138" s="64"/>
      <c r="G138" s="5"/>
      <c r="H138" s="5"/>
      <c r="I138" s="5"/>
      <c r="J138" s="5"/>
      <c r="K138" s="5"/>
      <c r="L138" s="14"/>
      <c r="M138" s="14"/>
      <c r="N138" s="14"/>
      <c r="O138" s="14"/>
      <c r="P138" s="14"/>
      <c r="Q138" s="14"/>
      <c r="R138" s="14"/>
      <c r="S138" s="14"/>
      <c r="T138" s="14"/>
      <c r="U138" s="14"/>
      <c r="V138" s="14"/>
      <c r="W138" s="14"/>
      <c r="X138" s="14"/>
      <c r="Y138" s="14"/>
    </row>
    <row r="139" spans="1:25" s="13" customFormat="1" ht="14" customHeight="1">
      <c r="A139" s="63"/>
      <c r="B139" s="60"/>
      <c r="C139" s="64"/>
      <c r="D139" s="65"/>
      <c r="E139" s="66"/>
      <c r="F139" s="64"/>
      <c r="G139" s="5"/>
      <c r="H139" s="5"/>
      <c r="I139" s="5"/>
      <c r="J139" s="5"/>
      <c r="K139" s="5"/>
      <c r="L139" s="14"/>
      <c r="M139" s="14"/>
      <c r="N139" s="14"/>
      <c r="O139" s="14"/>
      <c r="P139" s="14"/>
      <c r="Q139" s="14"/>
      <c r="R139" s="14"/>
      <c r="S139" s="14"/>
      <c r="T139" s="14"/>
      <c r="U139" s="14"/>
      <c r="V139" s="14"/>
      <c r="W139" s="14"/>
      <c r="X139" s="14"/>
      <c r="Y139" s="14"/>
    </row>
    <row r="140" spans="1:25" s="13" customFormat="1" ht="14" customHeight="1">
      <c r="A140" s="63"/>
      <c r="B140" s="60"/>
      <c r="C140" s="67"/>
      <c r="D140" s="68"/>
      <c r="E140" s="66"/>
      <c r="F140" s="64"/>
      <c r="G140" s="5"/>
      <c r="H140" s="5"/>
      <c r="I140" s="5"/>
      <c r="J140" s="5"/>
      <c r="K140" s="5"/>
      <c r="L140" s="14"/>
      <c r="M140" s="14"/>
      <c r="N140" s="14"/>
      <c r="O140" s="14"/>
      <c r="P140" s="14"/>
      <c r="Q140" s="14"/>
      <c r="R140" s="14"/>
      <c r="S140" s="14"/>
      <c r="T140" s="14"/>
      <c r="U140" s="14"/>
      <c r="V140" s="14"/>
      <c r="W140" s="14"/>
      <c r="X140" s="14"/>
      <c r="Y140" s="14"/>
    </row>
    <row r="141" spans="1:25" s="13" customFormat="1" ht="14" customHeight="1">
      <c r="A141" s="14"/>
      <c r="B141" s="60"/>
      <c r="C141" s="69"/>
      <c r="D141" s="62"/>
      <c r="E141" s="61"/>
      <c r="F141" s="61"/>
      <c r="G141" s="5"/>
      <c r="H141" s="5"/>
      <c r="I141" s="5"/>
      <c r="J141" s="5"/>
      <c r="K141" s="5"/>
      <c r="L141" s="14"/>
      <c r="M141" s="14"/>
      <c r="N141" s="14"/>
      <c r="O141" s="14"/>
      <c r="P141" s="14"/>
      <c r="Q141" s="14"/>
      <c r="R141" s="14"/>
      <c r="S141" s="14"/>
      <c r="T141" s="14"/>
      <c r="U141" s="14"/>
      <c r="V141" s="14"/>
      <c r="W141" s="14"/>
      <c r="X141" s="14"/>
      <c r="Y141" s="14"/>
    </row>
    <row r="142" spans="1:25" s="13" customFormat="1" ht="14" customHeight="1">
      <c r="A142" s="70"/>
      <c r="B142" s="60"/>
      <c r="C142" s="71"/>
      <c r="D142" s="72"/>
      <c r="E142" s="73"/>
      <c r="F142" s="73"/>
      <c r="G142" s="5"/>
      <c r="H142" s="5"/>
      <c r="I142" s="5"/>
      <c r="J142" s="5"/>
      <c r="K142" s="5"/>
      <c r="L142" s="14"/>
      <c r="M142" s="14"/>
      <c r="N142" s="14"/>
      <c r="O142" s="14"/>
      <c r="P142" s="14"/>
      <c r="Q142" s="14"/>
      <c r="R142" s="14"/>
      <c r="S142" s="14"/>
      <c r="T142" s="14"/>
      <c r="U142" s="14"/>
      <c r="V142" s="14"/>
      <c r="W142" s="14"/>
      <c r="X142" s="14"/>
      <c r="Y142" s="14"/>
    </row>
    <row r="143" spans="1:25" s="13" customFormat="1" ht="14" customHeight="1">
      <c r="A143" s="74"/>
      <c r="B143" s="75"/>
      <c r="C143" s="71"/>
      <c r="D143" s="72"/>
      <c r="E143" s="73"/>
      <c r="F143" s="73"/>
      <c r="G143" s="5"/>
      <c r="H143" s="5"/>
      <c r="I143" s="5"/>
      <c r="J143" s="5"/>
      <c r="K143" s="5"/>
      <c r="L143" s="14"/>
      <c r="M143" s="14"/>
      <c r="N143" s="14"/>
      <c r="O143" s="14"/>
      <c r="P143" s="14"/>
      <c r="Q143" s="14"/>
      <c r="R143" s="14"/>
      <c r="S143" s="14"/>
      <c r="T143" s="14"/>
      <c r="U143" s="14"/>
      <c r="V143" s="14"/>
      <c r="W143" s="14"/>
      <c r="X143" s="14"/>
      <c r="Y143" s="14"/>
    </row>
    <row r="144" spans="1:25" s="13" customFormat="1" ht="14" customHeight="1">
      <c r="A144" s="74"/>
      <c r="B144" s="75"/>
      <c r="C144" s="71"/>
      <c r="D144" s="72"/>
      <c r="E144" s="71"/>
      <c r="F144" s="73"/>
      <c r="G144" s="5"/>
      <c r="H144" s="5"/>
      <c r="I144" s="5"/>
      <c r="J144" s="5"/>
      <c r="K144" s="5"/>
      <c r="L144" s="14"/>
      <c r="M144" s="14"/>
      <c r="N144" s="14"/>
      <c r="O144" s="14"/>
      <c r="P144" s="14"/>
      <c r="Q144" s="14"/>
      <c r="R144" s="14"/>
      <c r="S144" s="14"/>
      <c r="T144" s="14"/>
      <c r="U144" s="14"/>
      <c r="V144" s="14"/>
      <c r="W144" s="14"/>
      <c r="X144" s="14"/>
      <c r="Y144" s="14"/>
    </row>
    <row r="145" spans="1:25" s="13" customFormat="1" ht="14" customHeight="1">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row>
    <row r="146" spans="1:25" s="13" customFormat="1" ht="14" customHeight="1">
      <c r="A146" s="70"/>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row>
    <row r="147" spans="1:25" s="13" customFormat="1" ht="14" customHeight="1">
      <c r="A147" s="14"/>
      <c r="B147" s="14"/>
      <c r="C147" s="59"/>
      <c r="D147" s="59"/>
      <c r="E147" s="59"/>
      <c r="F147" s="59"/>
      <c r="G147" s="14"/>
      <c r="H147" s="76"/>
      <c r="I147" s="14"/>
      <c r="J147" s="14"/>
      <c r="K147" s="14"/>
      <c r="L147" s="14"/>
      <c r="M147" s="14"/>
      <c r="N147" s="14"/>
      <c r="O147" s="14"/>
      <c r="P147" s="14"/>
      <c r="Q147" s="14"/>
      <c r="R147" s="14"/>
      <c r="S147" s="14"/>
      <c r="T147" s="14"/>
      <c r="U147" s="14"/>
      <c r="V147" s="14"/>
      <c r="W147" s="14"/>
      <c r="X147" s="14"/>
      <c r="Y147" s="14"/>
    </row>
    <row r="148" spans="1:25" s="13" customFormat="1" ht="14" customHeight="1">
      <c r="A148" s="58"/>
      <c r="B148" s="58"/>
      <c r="C148" s="58"/>
      <c r="D148" s="58"/>
      <c r="E148" s="58"/>
      <c r="F148" s="58"/>
      <c r="G148" s="58"/>
      <c r="H148" s="58"/>
      <c r="I148" s="14"/>
      <c r="J148" s="14"/>
      <c r="K148" s="14"/>
      <c r="L148" s="14"/>
      <c r="M148" s="14"/>
      <c r="N148" s="14"/>
      <c r="O148" s="14"/>
      <c r="P148" s="14"/>
      <c r="Q148" s="14"/>
      <c r="R148" s="14"/>
      <c r="S148" s="14"/>
      <c r="T148" s="14"/>
      <c r="U148" s="14"/>
      <c r="V148" s="14"/>
      <c r="W148" s="14"/>
      <c r="X148" s="14"/>
      <c r="Y148" s="14"/>
    </row>
    <row r="149" spans="1:25" s="13" customFormat="1" ht="14" customHeight="1">
      <c r="A149" s="14"/>
      <c r="B149" s="60"/>
      <c r="C149" s="69"/>
      <c r="D149" s="62"/>
      <c r="E149" s="61"/>
      <c r="F149" s="69"/>
      <c r="G149" s="14"/>
      <c r="H149" s="14"/>
      <c r="I149" s="14"/>
      <c r="J149" s="14"/>
      <c r="K149" s="14"/>
      <c r="L149" s="14"/>
      <c r="M149" s="14"/>
      <c r="N149" s="14"/>
      <c r="O149" s="14"/>
      <c r="P149" s="14"/>
      <c r="Q149" s="14"/>
      <c r="R149" s="14"/>
      <c r="S149" s="14"/>
      <c r="T149" s="14"/>
      <c r="U149" s="14"/>
      <c r="V149" s="14"/>
      <c r="W149" s="14"/>
      <c r="X149" s="14"/>
      <c r="Y149" s="14"/>
    </row>
    <row r="150" spans="1:25" s="13" customFormat="1" ht="14" customHeight="1">
      <c r="A150" s="63"/>
      <c r="B150" s="60"/>
      <c r="C150" s="77"/>
      <c r="D150" s="65"/>
      <c r="E150" s="66"/>
      <c r="F150" s="64"/>
      <c r="G150" s="14"/>
      <c r="H150" s="14"/>
      <c r="I150" s="14"/>
      <c r="J150" s="14"/>
      <c r="K150" s="14"/>
      <c r="L150" s="14"/>
      <c r="M150" s="14"/>
      <c r="N150" s="14"/>
      <c r="O150" s="14"/>
      <c r="P150" s="14"/>
      <c r="Q150" s="14"/>
      <c r="R150" s="14"/>
      <c r="S150" s="14"/>
      <c r="T150" s="14"/>
      <c r="U150" s="14"/>
      <c r="V150" s="14"/>
      <c r="W150" s="14"/>
      <c r="X150" s="14"/>
      <c r="Y150" s="14"/>
    </row>
    <row r="151" spans="1:25" s="13" customFormat="1" ht="14" customHeight="1">
      <c r="A151" s="63"/>
      <c r="B151" s="60"/>
      <c r="C151" s="77"/>
      <c r="D151" s="65"/>
      <c r="E151" s="66"/>
      <c r="F151" s="64"/>
      <c r="G151" s="14"/>
      <c r="H151" s="14"/>
      <c r="I151" s="14"/>
      <c r="J151" s="14"/>
      <c r="K151" s="14"/>
      <c r="L151" s="14"/>
      <c r="M151" s="14"/>
      <c r="N151" s="14"/>
      <c r="O151" s="14"/>
      <c r="P151" s="14"/>
      <c r="Q151" s="14"/>
      <c r="R151" s="14"/>
      <c r="S151" s="14"/>
      <c r="T151" s="14"/>
      <c r="U151" s="14"/>
      <c r="V151" s="14"/>
      <c r="W151" s="14"/>
      <c r="X151" s="14"/>
      <c r="Y151" s="14"/>
    </row>
    <row r="152" spans="1:25" s="13" customFormat="1" ht="14" customHeight="1">
      <c r="A152" s="63"/>
      <c r="B152" s="60"/>
      <c r="C152" s="67"/>
      <c r="D152" s="68"/>
      <c r="E152" s="66"/>
      <c r="F152" s="64"/>
      <c r="G152" s="14"/>
      <c r="H152" s="14"/>
      <c r="I152" s="14"/>
      <c r="J152" s="14"/>
      <c r="K152" s="14"/>
      <c r="L152" s="14"/>
      <c r="M152" s="14"/>
      <c r="N152" s="14"/>
      <c r="O152" s="14"/>
      <c r="P152" s="14"/>
      <c r="Q152" s="14"/>
      <c r="R152" s="14"/>
      <c r="S152" s="14"/>
      <c r="T152" s="14"/>
      <c r="U152" s="14"/>
      <c r="V152" s="14"/>
      <c r="W152" s="14"/>
      <c r="X152" s="14"/>
      <c r="Y152" s="14"/>
    </row>
    <row r="153" spans="1:25" s="13" customFormat="1" ht="14" customHeight="1">
      <c r="A153" s="14"/>
      <c r="B153" s="60"/>
      <c r="C153" s="69"/>
      <c r="D153" s="62"/>
      <c r="E153" s="61"/>
      <c r="F153" s="69"/>
      <c r="G153" s="14"/>
      <c r="H153" s="14"/>
      <c r="I153" s="14"/>
      <c r="J153" s="14"/>
      <c r="K153" s="14"/>
      <c r="L153" s="14"/>
      <c r="M153" s="14"/>
      <c r="N153" s="14"/>
      <c r="O153" s="14"/>
      <c r="P153" s="14"/>
      <c r="Q153" s="14"/>
      <c r="R153" s="14"/>
      <c r="S153" s="14"/>
      <c r="T153" s="14"/>
      <c r="U153" s="14"/>
      <c r="V153" s="14"/>
      <c r="W153" s="14"/>
      <c r="X153" s="14"/>
      <c r="Y153" s="14"/>
    </row>
    <row r="154" spans="1:25" s="13" customFormat="1" ht="14" customHeight="1">
      <c r="A154" s="70"/>
      <c r="B154" s="60"/>
      <c r="C154" s="71"/>
      <c r="D154" s="72"/>
      <c r="E154" s="73"/>
      <c r="F154" s="71"/>
      <c r="G154" s="14"/>
      <c r="H154" s="14"/>
      <c r="I154" s="14"/>
      <c r="J154" s="14"/>
      <c r="K154" s="14"/>
      <c r="L154" s="14"/>
      <c r="M154" s="14"/>
      <c r="N154" s="14"/>
      <c r="O154" s="14"/>
      <c r="P154" s="14"/>
      <c r="Q154" s="14"/>
      <c r="R154" s="14"/>
      <c r="S154" s="14"/>
      <c r="T154" s="14"/>
      <c r="U154" s="14"/>
      <c r="V154" s="14"/>
      <c r="W154" s="14"/>
      <c r="X154" s="14"/>
      <c r="Y154" s="14"/>
    </row>
    <row r="155" spans="1:25" s="13" customFormat="1" ht="14" customHeight="1">
      <c r="A155" s="74"/>
      <c r="B155" s="75"/>
      <c r="C155" s="59"/>
      <c r="D155" s="72"/>
      <c r="E155" s="59"/>
      <c r="F155" s="71"/>
      <c r="G155" s="14"/>
      <c r="H155" s="14"/>
      <c r="I155" s="14"/>
      <c r="J155" s="14"/>
      <c r="K155" s="14"/>
      <c r="L155" s="14"/>
      <c r="M155" s="14"/>
      <c r="N155" s="14"/>
      <c r="O155" s="14"/>
      <c r="P155" s="14"/>
      <c r="Q155" s="14"/>
      <c r="R155" s="14"/>
      <c r="S155" s="14"/>
      <c r="T155" s="14"/>
      <c r="U155" s="14"/>
      <c r="V155" s="14"/>
      <c r="W155" s="14"/>
      <c r="X155" s="14"/>
      <c r="Y155" s="14"/>
    </row>
    <row r="156" spans="1:25" s="13" customFormat="1" ht="14" customHeight="1">
      <c r="A156" s="74"/>
      <c r="B156" s="75"/>
      <c r="C156" s="59"/>
      <c r="D156" s="72"/>
      <c r="E156" s="59"/>
      <c r="F156" s="71"/>
      <c r="G156" s="14"/>
      <c r="H156" s="14"/>
      <c r="I156" s="14"/>
      <c r="J156" s="14"/>
      <c r="K156" s="14"/>
      <c r="L156" s="14"/>
      <c r="M156" s="14"/>
      <c r="N156" s="14"/>
      <c r="O156" s="14"/>
      <c r="P156" s="14"/>
      <c r="Q156" s="14"/>
      <c r="R156" s="14"/>
      <c r="S156" s="14"/>
      <c r="T156" s="14"/>
      <c r="U156" s="14"/>
      <c r="V156" s="14"/>
      <c r="W156" s="14"/>
      <c r="X156" s="14"/>
      <c r="Y156" s="14"/>
    </row>
    <row r="157" spans="1:25" s="13" customFormat="1" ht="14" customHeight="1">
      <c r="A157" s="14"/>
      <c r="B157" s="14"/>
      <c r="C157" s="14"/>
      <c r="D157" s="14"/>
      <c r="E157" s="14"/>
      <c r="F157" s="78"/>
      <c r="G157" s="14"/>
      <c r="H157" s="14"/>
      <c r="I157" s="14"/>
      <c r="J157" s="14"/>
      <c r="K157" s="14"/>
      <c r="L157" s="14"/>
      <c r="M157" s="14"/>
      <c r="N157" s="14"/>
      <c r="O157" s="14"/>
      <c r="P157" s="14"/>
      <c r="Q157" s="14"/>
      <c r="R157" s="14"/>
      <c r="S157" s="14"/>
      <c r="T157" s="14"/>
      <c r="U157" s="14"/>
      <c r="V157" s="14"/>
      <c r="W157" s="14"/>
      <c r="X157" s="14"/>
      <c r="Y157" s="14"/>
    </row>
    <row r="158" spans="1:25" s="13" customFormat="1" ht="14" customHeight="1">
      <c r="A158" s="70"/>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row>
    <row r="159" spans="1:25" s="13" customFormat="1" ht="14" customHeight="1">
      <c r="A159" s="14"/>
      <c r="B159" s="14"/>
      <c r="C159" s="59"/>
      <c r="D159" s="59"/>
      <c r="E159" s="59"/>
      <c r="F159" s="59"/>
      <c r="G159" s="14"/>
      <c r="H159" s="76"/>
      <c r="I159" s="14"/>
      <c r="J159" s="14"/>
      <c r="K159" s="14"/>
      <c r="L159" s="14"/>
      <c r="M159" s="14"/>
      <c r="N159" s="14"/>
      <c r="O159" s="14"/>
      <c r="P159" s="14"/>
      <c r="Q159" s="14"/>
      <c r="R159" s="14"/>
      <c r="S159" s="14"/>
      <c r="T159" s="14"/>
      <c r="U159" s="14"/>
      <c r="V159" s="14"/>
      <c r="W159" s="14"/>
      <c r="X159" s="14"/>
      <c r="Y159" s="14"/>
    </row>
    <row r="160" spans="1:25" s="13" customFormat="1" ht="14" customHeight="1">
      <c r="A160" s="58"/>
      <c r="B160" s="58"/>
      <c r="C160" s="58"/>
      <c r="D160" s="58"/>
      <c r="E160" s="58"/>
      <c r="F160" s="58"/>
      <c r="G160" s="58"/>
      <c r="H160" s="58"/>
      <c r="I160" s="14"/>
      <c r="J160" s="14"/>
      <c r="K160" s="14"/>
      <c r="L160" s="14"/>
      <c r="M160" s="14"/>
      <c r="N160" s="14"/>
      <c r="O160" s="14"/>
      <c r="P160" s="14"/>
      <c r="Q160" s="14"/>
      <c r="R160" s="14"/>
      <c r="S160" s="14"/>
      <c r="T160" s="14"/>
      <c r="U160" s="14"/>
      <c r="V160" s="14"/>
      <c r="W160" s="14"/>
      <c r="X160" s="14"/>
      <c r="Y160" s="14"/>
    </row>
    <row r="161" spans="1:25" s="13" customFormat="1" ht="14" customHeight="1">
      <c r="A161" s="14"/>
      <c r="B161" s="60"/>
      <c r="C161" s="69"/>
      <c r="D161" s="62"/>
      <c r="E161" s="61"/>
      <c r="F161" s="61"/>
      <c r="G161" s="14"/>
      <c r="H161" s="14"/>
      <c r="I161" s="14"/>
      <c r="J161" s="14"/>
      <c r="K161" s="14"/>
      <c r="L161" s="14"/>
      <c r="M161" s="14"/>
      <c r="N161" s="14"/>
      <c r="O161" s="14"/>
      <c r="P161" s="14"/>
      <c r="Q161" s="14"/>
      <c r="R161" s="14"/>
      <c r="S161" s="14"/>
      <c r="T161" s="14"/>
      <c r="U161" s="14"/>
      <c r="V161" s="14"/>
      <c r="W161" s="14"/>
      <c r="X161" s="14"/>
      <c r="Y161" s="14"/>
    </row>
    <row r="162" spans="1:25" s="13" customFormat="1" ht="14" customHeight="1">
      <c r="A162" s="63"/>
      <c r="B162" s="60"/>
      <c r="C162" s="64"/>
      <c r="D162" s="65"/>
      <c r="E162" s="66"/>
      <c r="F162" s="64"/>
      <c r="G162" s="14"/>
      <c r="H162" s="14"/>
      <c r="I162" s="14"/>
      <c r="J162" s="14"/>
      <c r="K162" s="14"/>
      <c r="L162" s="14"/>
      <c r="M162" s="14"/>
      <c r="N162" s="14"/>
      <c r="O162" s="14"/>
      <c r="P162" s="14"/>
      <c r="Q162" s="14"/>
      <c r="R162" s="14"/>
      <c r="S162" s="14"/>
      <c r="T162" s="14"/>
      <c r="U162" s="14"/>
      <c r="V162" s="14"/>
      <c r="W162" s="14"/>
      <c r="X162" s="14"/>
      <c r="Y162" s="14"/>
    </row>
    <row r="163" spans="1:25" s="13" customFormat="1" ht="14" customHeight="1">
      <c r="A163" s="63"/>
      <c r="B163" s="60"/>
      <c r="C163" s="64"/>
      <c r="D163" s="65"/>
      <c r="E163" s="66"/>
      <c r="F163" s="64"/>
      <c r="G163" s="14"/>
      <c r="H163" s="14"/>
      <c r="I163" s="14"/>
      <c r="J163" s="14"/>
      <c r="K163" s="14"/>
      <c r="L163" s="14"/>
      <c r="M163" s="14"/>
      <c r="N163" s="14"/>
      <c r="O163" s="14"/>
      <c r="P163" s="14"/>
      <c r="Q163" s="14"/>
      <c r="R163" s="14"/>
      <c r="S163" s="14"/>
      <c r="T163" s="14"/>
      <c r="U163" s="14"/>
      <c r="V163" s="14"/>
      <c r="W163" s="14"/>
      <c r="X163" s="14"/>
      <c r="Y163" s="14"/>
    </row>
    <row r="164" spans="1:25" s="13" customFormat="1" ht="14" customHeight="1">
      <c r="A164" s="63"/>
      <c r="B164" s="60"/>
      <c r="C164" s="79"/>
      <c r="D164" s="68"/>
      <c r="E164" s="66"/>
      <c r="F164" s="64"/>
      <c r="G164" s="14"/>
      <c r="H164" s="14"/>
      <c r="I164" s="14"/>
      <c r="J164" s="14"/>
      <c r="K164" s="14"/>
      <c r="L164" s="14"/>
      <c r="M164" s="14"/>
      <c r="N164" s="14"/>
      <c r="O164" s="14"/>
      <c r="P164" s="14"/>
      <c r="Q164" s="14"/>
      <c r="R164" s="14"/>
      <c r="S164" s="14"/>
      <c r="T164" s="14"/>
      <c r="U164" s="14"/>
      <c r="V164" s="14"/>
      <c r="W164" s="14"/>
      <c r="X164" s="14"/>
      <c r="Y164" s="14"/>
    </row>
    <row r="165" spans="1:25" s="13" customFormat="1" ht="14" customHeight="1">
      <c r="A165" s="14"/>
      <c r="B165" s="60"/>
      <c r="C165" s="69"/>
      <c r="D165" s="62"/>
      <c r="E165" s="61"/>
      <c r="F165" s="61"/>
      <c r="G165" s="14"/>
      <c r="H165" s="14"/>
      <c r="I165" s="14"/>
      <c r="J165" s="14"/>
      <c r="K165" s="14"/>
      <c r="L165" s="14"/>
      <c r="M165" s="14"/>
      <c r="N165" s="14"/>
      <c r="O165" s="14"/>
      <c r="P165" s="14"/>
      <c r="Q165" s="14"/>
      <c r="R165" s="14"/>
      <c r="S165" s="14"/>
      <c r="T165" s="14"/>
      <c r="U165" s="14"/>
      <c r="V165" s="14"/>
      <c r="W165" s="14"/>
      <c r="X165" s="14"/>
      <c r="Y165" s="14"/>
    </row>
    <row r="166" spans="1:25" s="13" customFormat="1" ht="14" customHeight="1">
      <c r="A166" s="70"/>
      <c r="B166" s="60"/>
      <c r="C166" s="71"/>
      <c r="D166" s="72"/>
      <c r="E166" s="73"/>
      <c r="F166" s="73"/>
      <c r="G166" s="14"/>
      <c r="H166" s="14"/>
      <c r="I166" s="14"/>
      <c r="J166" s="14"/>
      <c r="K166" s="14"/>
      <c r="L166" s="14"/>
      <c r="M166" s="14"/>
      <c r="N166" s="14"/>
      <c r="O166" s="14"/>
      <c r="P166" s="14"/>
      <c r="Q166" s="14"/>
      <c r="R166" s="14"/>
      <c r="S166" s="14"/>
      <c r="T166" s="14"/>
      <c r="U166" s="14"/>
      <c r="V166" s="14"/>
      <c r="W166" s="14"/>
      <c r="X166" s="14"/>
      <c r="Y166" s="14"/>
    </row>
    <row r="167" spans="1:25" s="13" customFormat="1" ht="14" customHeight="1">
      <c r="A167" s="74"/>
      <c r="B167" s="75"/>
      <c r="C167" s="71"/>
      <c r="D167" s="72"/>
      <c r="E167" s="71"/>
      <c r="F167" s="71"/>
      <c r="G167" s="14"/>
      <c r="H167" s="14"/>
      <c r="I167" s="14"/>
      <c r="J167" s="14"/>
      <c r="K167" s="14"/>
      <c r="L167" s="14"/>
      <c r="M167" s="14"/>
      <c r="N167" s="14"/>
      <c r="O167" s="14"/>
      <c r="P167" s="14"/>
      <c r="Q167" s="14"/>
      <c r="R167" s="14"/>
      <c r="S167" s="14"/>
      <c r="T167" s="14"/>
      <c r="U167" s="14"/>
      <c r="V167" s="14"/>
      <c r="W167" s="14"/>
      <c r="X167" s="14"/>
      <c r="Y167" s="14"/>
    </row>
    <row r="168" spans="1:25" s="13" customFormat="1" ht="14" customHeight="1">
      <c r="A168" s="74"/>
      <c r="B168" s="75"/>
      <c r="C168" s="59"/>
      <c r="D168" s="72"/>
      <c r="E168" s="59"/>
      <c r="F168" s="71"/>
      <c r="G168" s="14"/>
      <c r="H168" s="14"/>
      <c r="I168" s="14"/>
      <c r="J168" s="14"/>
      <c r="K168" s="14"/>
      <c r="L168" s="14"/>
      <c r="M168" s="14"/>
      <c r="N168" s="14"/>
      <c r="O168" s="14"/>
      <c r="P168" s="14"/>
      <c r="Q168" s="14"/>
      <c r="R168" s="14"/>
      <c r="S168" s="14"/>
      <c r="T168" s="14"/>
      <c r="U168" s="14"/>
      <c r="V168" s="14"/>
      <c r="W168" s="14"/>
      <c r="X168" s="14"/>
      <c r="Y168" s="14"/>
    </row>
    <row r="169" spans="1:25" s="13" customFormat="1" ht="14" customHeight="1">
      <c r="A169" s="74"/>
      <c r="B169" s="75"/>
      <c r="C169" s="59"/>
      <c r="D169" s="59"/>
      <c r="E169" s="59"/>
      <c r="F169" s="71"/>
      <c r="G169" s="14"/>
      <c r="H169" s="14"/>
      <c r="I169" s="14"/>
      <c r="J169" s="14"/>
      <c r="K169" s="14"/>
      <c r="L169" s="14"/>
      <c r="M169" s="14"/>
      <c r="N169" s="14"/>
      <c r="O169" s="14"/>
      <c r="P169" s="14"/>
      <c r="Q169" s="14"/>
      <c r="R169" s="14"/>
      <c r="S169" s="14"/>
      <c r="T169" s="14"/>
      <c r="U169" s="14"/>
      <c r="V169" s="14"/>
      <c r="W169" s="14"/>
      <c r="X169" s="14"/>
      <c r="Y169" s="14"/>
    </row>
    <row r="170" spans="1:25" s="13" customFormat="1" ht="14" customHeight="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row>
    <row r="171" spans="1:25" s="13" customFormat="1" ht="14" customHeight="1">
      <c r="K171" s="14"/>
      <c r="L171" s="14"/>
      <c r="M171" s="14"/>
      <c r="N171" s="14"/>
      <c r="O171" s="14"/>
      <c r="P171" s="14"/>
      <c r="Q171" s="14"/>
      <c r="R171" s="14"/>
      <c r="S171" s="14"/>
      <c r="T171" s="14"/>
      <c r="U171" s="14"/>
      <c r="V171" s="14"/>
      <c r="W171" s="14"/>
      <c r="X171" s="14"/>
      <c r="Y171" s="14"/>
    </row>
    <row r="172" spans="1:25" s="13" customFormat="1" ht="14" customHeight="1"/>
    <row r="173" spans="1:25" s="13" customFormat="1" ht="14" customHeight="1"/>
    <row r="174" spans="1:25" s="13" customFormat="1" ht="14" customHeight="1"/>
    <row r="175" spans="1:25" s="13" customFormat="1" ht="14" customHeight="1"/>
  </sheetData>
  <mergeCells count="3">
    <mergeCell ref="B2:E2"/>
    <mergeCell ref="H2:K2"/>
    <mergeCell ref="N2:Q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showGridLines="0" workbookViewId="0"/>
  </sheetViews>
  <sheetFormatPr baseColWidth="10" defaultColWidth="8.83203125" defaultRowHeight="16"/>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T144"/>
  <sheetViews>
    <sheetView showGridLines="0" zoomScaleNormal="100" zoomScalePageLayoutView="110" workbookViewId="0"/>
  </sheetViews>
  <sheetFormatPr baseColWidth="10" defaultColWidth="10.6640625" defaultRowHeight="16"/>
  <cols>
    <col min="2" max="2" width="40.33203125" style="432" customWidth="1"/>
    <col min="3" max="3" width="10.6640625" style="432"/>
    <col min="4" max="4" width="14.5" style="458" customWidth="1"/>
    <col min="5" max="5" width="13.83203125" style="499" customWidth="1"/>
    <col min="6" max="6" width="10.6640625" style="499"/>
    <col min="7" max="7" width="12.83203125" style="500" customWidth="1"/>
    <col min="8" max="10" width="10.6640625" style="500"/>
  </cols>
  <sheetData>
    <row r="1" spans="1:46">
      <c r="A1" s="427" t="s">
        <v>107</v>
      </c>
    </row>
    <row r="2" spans="1:46">
      <c r="A2" s="427"/>
    </row>
    <row r="3" spans="1:46" ht="17" thickBot="1">
      <c r="A3" s="429"/>
      <c r="B3" s="433" t="s">
        <v>312</v>
      </c>
      <c r="C3" s="442"/>
    </row>
    <row r="4" spans="1:46">
      <c r="A4" s="122"/>
      <c r="B4" s="471" t="s">
        <v>317</v>
      </c>
      <c r="C4" s="467">
        <f>'B1. MASTER AGENT INPUTS'!B19</f>
        <v>10</v>
      </c>
    </row>
    <row r="5" spans="1:46" s="101" customFormat="1">
      <c r="A5" s="122"/>
      <c r="B5" s="465" t="s">
        <v>313</v>
      </c>
      <c r="C5" s="467">
        <f>'B1. MASTER AGENT INPUTS'!B20</f>
        <v>300</v>
      </c>
      <c r="D5" s="460"/>
      <c r="E5" s="501"/>
      <c r="F5" s="501"/>
      <c r="G5" s="365"/>
      <c r="H5" s="365"/>
      <c r="I5" s="365"/>
      <c r="J5" s="365"/>
    </row>
    <row r="6" spans="1:46">
      <c r="C6" s="441"/>
      <c r="E6" s="502"/>
      <c r="F6" s="503"/>
      <c r="G6" s="504"/>
      <c r="H6" s="504"/>
      <c r="I6" s="504"/>
      <c r="J6" s="504"/>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row>
    <row r="7" spans="1:46" ht="17" thickBot="1">
      <c r="A7" s="429"/>
      <c r="B7" s="433" t="s">
        <v>281</v>
      </c>
      <c r="C7" s="442"/>
      <c r="F7" s="503"/>
      <c r="G7" s="504"/>
      <c r="H7" s="504"/>
      <c r="I7" s="504"/>
      <c r="J7" s="504"/>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row>
    <row r="8" spans="1:46">
      <c r="B8" s="432" t="s">
        <v>283</v>
      </c>
      <c r="C8" s="443">
        <f>'B1. MASTER AGENT INPUTS'!$E$18</f>
        <v>25</v>
      </c>
      <c r="D8" s="461"/>
      <c r="F8" s="503"/>
      <c r="G8" s="505"/>
      <c r="H8" s="504"/>
      <c r="I8" s="504"/>
      <c r="J8" s="504"/>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row>
    <row r="9" spans="1:46">
      <c r="B9" s="432" t="s">
        <v>284</v>
      </c>
      <c r="C9" s="441">
        <f>'B1. MASTER AGENT INPUTS'!$B$38</f>
        <v>8.0000000000000002E-3</v>
      </c>
      <c r="F9" s="503"/>
      <c r="G9" s="504"/>
      <c r="H9" s="504"/>
      <c r="I9" s="504"/>
      <c r="J9" s="504"/>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row>
    <row r="10" spans="1:46">
      <c r="B10" s="432" t="s">
        <v>285</v>
      </c>
      <c r="C10" s="444">
        <f>C8*C9</f>
        <v>0.2</v>
      </c>
      <c r="F10" s="503"/>
      <c r="G10" s="504"/>
      <c r="H10" s="504"/>
      <c r="I10" s="504"/>
      <c r="J10" s="504"/>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row>
    <row r="11" spans="1:46">
      <c r="B11" s="432" t="s">
        <v>286</v>
      </c>
      <c r="C11" s="437">
        <f>'B1. MASTER AGENT INPUTS'!$E$17</f>
        <v>60</v>
      </c>
      <c r="F11" s="503"/>
      <c r="G11" s="504"/>
      <c r="H11" s="504"/>
      <c r="I11" s="504"/>
      <c r="J11" s="504"/>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row>
    <row r="12" spans="1:46">
      <c r="B12" s="434" t="s">
        <v>287</v>
      </c>
      <c r="C12" s="445">
        <f>C11*C10</f>
        <v>12</v>
      </c>
      <c r="D12" s="462"/>
      <c r="F12" s="503"/>
      <c r="G12" s="504"/>
      <c r="H12" s="504"/>
      <c r="I12" s="504"/>
      <c r="J12" s="504"/>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row>
    <row r="13" spans="1:46">
      <c r="B13" s="432" t="s">
        <v>288</v>
      </c>
      <c r="C13" s="446">
        <f>C12/C11</f>
        <v>0.2</v>
      </c>
      <c r="F13" s="503"/>
      <c r="G13" s="504"/>
      <c r="H13" s="504"/>
      <c r="I13" s="504"/>
      <c r="J13" s="504"/>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row>
    <row r="14" spans="1:46">
      <c r="C14" s="446"/>
      <c r="F14" s="503"/>
      <c r="G14" s="504"/>
      <c r="H14" s="504"/>
      <c r="I14" s="504"/>
      <c r="J14" s="504"/>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row>
    <row r="15" spans="1:46" ht="17" thickBot="1">
      <c r="A15" s="429"/>
      <c r="B15" s="433" t="s">
        <v>282</v>
      </c>
      <c r="C15" s="442"/>
      <c r="F15" s="503"/>
      <c r="G15" s="504"/>
      <c r="H15" s="504"/>
      <c r="I15" s="504"/>
      <c r="J15" s="504"/>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row>
    <row r="16" spans="1:46">
      <c r="B16" s="432" t="s">
        <v>76</v>
      </c>
      <c r="C16" s="443">
        <f>'B1. MASTER AGENT INPUTS'!$E$20</f>
        <v>20</v>
      </c>
      <c r="D16" s="459"/>
      <c r="F16" s="503"/>
      <c r="G16" s="504"/>
      <c r="H16" s="504"/>
      <c r="I16" s="504"/>
      <c r="J16" s="504"/>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row>
    <row r="17" spans="1:4">
      <c r="B17" s="432" t="s">
        <v>77</v>
      </c>
      <c r="C17" s="447">
        <f>'B1. MASTER AGENT INPUTS'!$E$38</f>
        <v>1.1199999999999998E-2</v>
      </c>
    </row>
    <row r="18" spans="1:4">
      <c r="B18" s="432" t="s">
        <v>79</v>
      </c>
      <c r="C18" s="444">
        <f>C17*C16</f>
        <v>0.22399999999999998</v>
      </c>
    </row>
    <row r="19" spans="1:4">
      <c r="B19" s="435" t="s">
        <v>78</v>
      </c>
      <c r="C19" s="432">
        <f>'B1. MASTER AGENT INPUTS'!$E$19</f>
        <v>45</v>
      </c>
      <c r="D19" s="461"/>
    </row>
    <row r="20" spans="1:4">
      <c r="B20" s="436" t="s">
        <v>289</v>
      </c>
      <c r="C20" s="448">
        <f>C19*C18</f>
        <v>10.079999999999998</v>
      </c>
      <c r="D20" s="462"/>
    </row>
    <row r="21" spans="1:4">
      <c r="B21" s="435" t="s">
        <v>114</v>
      </c>
      <c r="C21" s="449">
        <f>C20/C19</f>
        <v>0.22399999999999995</v>
      </c>
    </row>
    <row r="22" spans="1:4">
      <c r="B22" s="435"/>
      <c r="C22" s="449"/>
    </row>
    <row r="23" spans="1:4" ht="17" thickBot="1">
      <c r="A23" s="429"/>
      <c r="B23" s="433" t="s">
        <v>290</v>
      </c>
      <c r="C23" s="442"/>
    </row>
    <row r="24" spans="1:4">
      <c r="B24" s="437" t="s">
        <v>125</v>
      </c>
      <c r="C24" s="450">
        <f>'B1. MASTER AGENT INPUTS'!$E$23</f>
        <v>7.5</v>
      </c>
    </row>
    <row r="25" spans="1:4">
      <c r="B25" s="437" t="s">
        <v>126</v>
      </c>
      <c r="C25" s="451">
        <f>'B1. MASTER AGENT INPUTS'!$B$44</f>
        <v>1.12E-2</v>
      </c>
    </row>
    <row r="26" spans="1:4">
      <c r="B26" s="437" t="s">
        <v>128</v>
      </c>
      <c r="C26" s="450">
        <f>C25*C24</f>
        <v>8.4000000000000005E-2</v>
      </c>
    </row>
    <row r="27" spans="1:4">
      <c r="B27" s="435" t="s">
        <v>127</v>
      </c>
      <c r="C27" s="437">
        <f>'B1. MASTER AGENT INPUTS'!$E$22</f>
        <v>75</v>
      </c>
    </row>
    <row r="28" spans="1:4">
      <c r="B28" s="436" t="s">
        <v>291</v>
      </c>
      <c r="C28" s="452">
        <f>C27*C26</f>
        <v>6.3000000000000007</v>
      </c>
      <c r="D28" s="462"/>
    </row>
    <row r="29" spans="1:4">
      <c r="B29" s="435" t="s">
        <v>292</v>
      </c>
      <c r="C29" s="450">
        <f>C28/C27</f>
        <v>8.4000000000000005E-2</v>
      </c>
    </row>
    <row r="30" spans="1:4">
      <c r="B30" s="435"/>
      <c r="C30" s="450"/>
    </row>
    <row r="31" spans="1:4" ht="17" thickBot="1">
      <c r="A31" s="429"/>
      <c r="B31" s="433" t="s">
        <v>293</v>
      </c>
      <c r="C31" s="442"/>
    </row>
    <row r="32" spans="1:4">
      <c r="B32" s="437" t="s">
        <v>294</v>
      </c>
      <c r="C32" s="453">
        <f>'B1. MASTER AGENT INPUTS'!$E$25</f>
        <v>5</v>
      </c>
    </row>
    <row r="33" spans="1:10">
      <c r="B33" s="437" t="s">
        <v>295</v>
      </c>
      <c r="C33" s="454">
        <f>'B1. MASTER AGENT INPUTS'!$E$41</f>
        <v>0.04</v>
      </c>
    </row>
    <row r="34" spans="1:10">
      <c r="B34" s="437" t="s">
        <v>296</v>
      </c>
      <c r="C34" s="450">
        <f>C33*C32</f>
        <v>0.2</v>
      </c>
    </row>
    <row r="35" spans="1:10">
      <c r="B35" s="435" t="s">
        <v>297</v>
      </c>
      <c r="C35" s="437">
        <f>'B1. MASTER AGENT INPUTS'!E24</f>
        <v>120</v>
      </c>
    </row>
    <row r="36" spans="1:10">
      <c r="B36" s="436" t="s">
        <v>298</v>
      </c>
      <c r="C36" s="452">
        <f>C35*C34</f>
        <v>24</v>
      </c>
    </row>
    <row r="37" spans="1:10" s="101" customFormat="1">
      <c r="A37"/>
      <c r="B37" s="435" t="s">
        <v>299</v>
      </c>
      <c r="C37" s="450">
        <f>C36/C35</f>
        <v>0.2</v>
      </c>
      <c r="D37" s="460"/>
      <c r="E37" s="501"/>
      <c r="F37" s="501"/>
      <c r="G37" s="365"/>
      <c r="H37" s="365"/>
      <c r="I37" s="365"/>
      <c r="J37" s="365"/>
    </row>
    <row r="38" spans="1:10" s="101" customFormat="1">
      <c r="A38"/>
      <c r="B38" s="435"/>
      <c r="C38" s="450"/>
      <c r="D38" s="460"/>
      <c r="E38" s="501"/>
      <c r="F38" s="501"/>
      <c r="G38" s="365"/>
      <c r="H38" s="365"/>
      <c r="I38" s="365"/>
      <c r="J38" s="365"/>
    </row>
    <row r="39" spans="1:10" s="159" customFormat="1">
      <c r="A39" s="478"/>
      <c r="B39" s="438" t="s">
        <v>303</v>
      </c>
      <c r="C39" s="455">
        <f>C36+C28+C20+C12</f>
        <v>52.379999999999995</v>
      </c>
      <c r="D39" s="463"/>
      <c r="E39" s="578"/>
      <c r="F39" s="506"/>
      <c r="G39" s="470"/>
      <c r="H39" s="470"/>
      <c r="I39" s="512"/>
      <c r="J39" s="512"/>
    </row>
    <row r="40" spans="1:10">
      <c r="F40" s="507"/>
      <c r="G40" s="508"/>
      <c r="H40" s="508"/>
    </row>
    <row r="41" spans="1:10" ht="17" thickBot="1">
      <c r="A41" s="429"/>
      <c r="B41" s="433" t="s">
        <v>301</v>
      </c>
      <c r="C41" s="442"/>
      <c r="F41" s="507"/>
      <c r="G41" s="508"/>
      <c r="H41" s="508"/>
    </row>
    <row r="42" spans="1:10">
      <c r="B42" s="439" t="s">
        <v>159</v>
      </c>
      <c r="C42" s="443">
        <f>(1-'B1. MASTER AGENT INPUTS'!E6)*'B1. MASTER AGENT INPUTS'!E5</f>
        <v>150</v>
      </c>
      <c r="F42" s="507"/>
      <c r="G42" s="508"/>
      <c r="H42" s="508"/>
    </row>
    <row r="43" spans="1:10">
      <c r="B43" s="439"/>
      <c r="C43" s="443"/>
      <c r="F43" s="507"/>
      <c r="G43" s="508"/>
      <c r="H43" s="508"/>
    </row>
    <row r="44" spans="1:10" ht="17" thickBot="1">
      <c r="A44" s="429"/>
      <c r="B44" s="433" t="s">
        <v>300</v>
      </c>
      <c r="C44" s="442"/>
      <c r="F44" s="507"/>
      <c r="G44" s="508"/>
      <c r="H44" s="508"/>
    </row>
    <row r="45" spans="1:10">
      <c r="B45" s="432" t="s">
        <v>75</v>
      </c>
      <c r="C45" s="443">
        <f>'B1. MASTER AGENT INPUTS'!B17</f>
        <v>0</v>
      </c>
      <c r="D45" s="603"/>
      <c r="F45" s="507"/>
      <c r="G45" s="508"/>
      <c r="H45" s="508"/>
    </row>
    <row r="46" spans="1:10">
      <c r="B46" s="432" t="s">
        <v>310</v>
      </c>
      <c r="C46" s="443">
        <f>'B1. MASTER AGENT INPUTS'!B18</f>
        <v>10</v>
      </c>
      <c r="D46" s="461"/>
      <c r="F46" s="507"/>
      <c r="G46" s="508"/>
      <c r="H46" s="508"/>
    </row>
    <row r="47" spans="1:10">
      <c r="A47" s="478"/>
      <c r="B47" s="438" t="s">
        <v>302</v>
      </c>
      <c r="C47" s="456">
        <f>C45+C46</f>
        <v>10</v>
      </c>
      <c r="F47" s="507"/>
      <c r="G47" s="508"/>
      <c r="H47" s="508"/>
    </row>
    <row r="48" spans="1:10">
      <c r="A48" s="101"/>
      <c r="F48" s="507"/>
      <c r="G48" s="508"/>
      <c r="H48" s="508"/>
    </row>
    <row r="49" spans="1:10">
      <c r="A49" s="478"/>
      <c r="B49" s="440" t="s">
        <v>305</v>
      </c>
      <c r="C49" s="457">
        <f>C39-C47</f>
        <v>42.379999999999995</v>
      </c>
      <c r="F49" s="507"/>
      <c r="G49" s="508"/>
      <c r="H49" s="508"/>
    </row>
    <row r="50" spans="1:10" s="101" customFormat="1">
      <c r="A50" s="478"/>
      <c r="B50" s="479"/>
      <c r="C50" s="480"/>
      <c r="D50" s="460"/>
      <c r="E50" s="501"/>
      <c r="F50" s="509"/>
      <c r="G50" s="510"/>
      <c r="H50" s="510"/>
      <c r="I50" s="365"/>
      <c r="J50" s="365"/>
    </row>
    <row r="51" spans="1:10" s="101" customFormat="1" ht="17" thickBot="1">
      <c r="A51" s="496"/>
      <c r="B51" s="497" t="s">
        <v>321</v>
      </c>
      <c r="C51" s="498"/>
      <c r="D51" s="460"/>
      <c r="E51" s="501"/>
      <c r="F51" s="509"/>
      <c r="G51" s="510"/>
      <c r="H51" s="510"/>
      <c r="I51" s="365"/>
      <c r="J51" s="365"/>
    </row>
    <row r="52" spans="1:10" s="101" customFormat="1" ht="17" thickTop="1">
      <c r="A52" s="478"/>
      <c r="B52" s="437" t="s">
        <v>129</v>
      </c>
      <c r="C52" s="443">
        <f>C42</f>
        <v>150</v>
      </c>
      <c r="D52" s="460"/>
      <c r="E52" s="501"/>
      <c r="F52" s="509"/>
      <c r="G52" s="510"/>
      <c r="H52" s="510"/>
      <c r="I52" s="365"/>
      <c r="J52" s="365"/>
    </row>
    <row r="53" spans="1:10">
      <c r="B53" s="464" t="s">
        <v>311</v>
      </c>
      <c r="C53" s="468">
        <f>$C$47/$C$5</f>
        <v>3.3333333333333333E-2</v>
      </c>
      <c r="F53" s="507"/>
      <c r="G53" s="508"/>
      <c r="H53" s="508"/>
    </row>
    <row r="54" spans="1:10">
      <c r="B54" s="464" t="s">
        <v>314</v>
      </c>
      <c r="C54" s="469">
        <f>(C12+C20+C28+C36)/$C$5</f>
        <v>0.17459999999999998</v>
      </c>
      <c r="F54" s="507"/>
      <c r="G54" s="508"/>
      <c r="H54" s="508"/>
    </row>
    <row r="55" spans="1:10">
      <c r="F55" s="507"/>
      <c r="G55" s="508"/>
      <c r="H55" s="508"/>
    </row>
    <row r="56" spans="1:10">
      <c r="B56" s="432" t="s">
        <v>316</v>
      </c>
      <c r="C56" s="432">
        <v>50</v>
      </c>
      <c r="F56" s="507"/>
      <c r="G56" s="508"/>
      <c r="H56" s="508"/>
    </row>
    <row r="57" spans="1:10">
      <c r="B57" s="437" t="s">
        <v>315</v>
      </c>
      <c r="C57" s="432">
        <v>50</v>
      </c>
      <c r="F57" s="507"/>
      <c r="G57" s="508"/>
      <c r="H57" s="508"/>
    </row>
    <row r="58" spans="1:10" s="101" customFormat="1">
      <c r="B58" s="437"/>
      <c r="C58" s="437"/>
      <c r="D58" s="460"/>
      <c r="E58" s="501"/>
      <c r="F58" s="509"/>
      <c r="G58" s="510"/>
      <c r="H58" s="510"/>
      <c r="I58" s="365"/>
      <c r="J58" s="365"/>
    </row>
    <row r="59" spans="1:10">
      <c r="B59" s="428" t="s">
        <v>318</v>
      </c>
      <c r="C59" s="514">
        <f>C52/(C54-C53)</f>
        <v>1061.8216139688534</v>
      </c>
      <c r="F59" s="507"/>
      <c r="G59" s="508"/>
      <c r="H59" s="508"/>
    </row>
    <row r="60" spans="1:10">
      <c r="B60" s="428" t="s">
        <v>319</v>
      </c>
      <c r="C60" s="515">
        <f>C59*C54</f>
        <v>185.39405379896178</v>
      </c>
      <c r="D60" s="489"/>
      <c r="F60" s="507"/>
      <c r="G60" s="508"/>
      <c r="H60" s="508"/>
    </row>
    <row r="61" spans="1:10">
      <c r="B61" s="428" t="s">
        <v>320</v>
      </c>
      <c r="C61" s="516">
        <f>C59/C5</f>
        <v>3.539405379896178</v>
      </c>
      <c r="D61" s="489"/>
      <c r="F61" s="507"/>
      <c r="G61" s="508"/>
      <c r="H61" s="508"/>
    </row>
    <row r="62" spans="1:10">
      <c r="B62" s="488"/>
      <c r="C62" s="490"/>
      <c r="D62" s="489"/>
      <c r="F62" s="507"/>
      <c r="G62" s="508"/>
      <c r="H62" s="508"/>
    </row>
    <row r="63" spans="1:10" ht="17" thickBot="1">
      <c r="B63" s="488"/>
      <c r="C63" s="491"/>
      <c r="D63" s="489"/>
      <c r="E63" s="513" t="s">
        <v>306</v>
      </c>
      <c r="F63" s="513" t="s">
        <v>307</v>
      </c>
      <c r="G63" s="513" t="s">
        <v>308</v>
      </c>
      <c r="H63" s="513" t="s">
        <v>309</v>
      </c>
      <c r="I63" s="513" t="s">
        <v>175</v>
      </c>
      <c r="J63" s="513" t="s">
        <v>304</v>
      </c>
    </row>
    <row r="64" spans="1:10" ht="17" thickTop="1">
      <c r="B64" s="465"/>
      <c r="C64" s="465"/>
      <c r="D64" s="489"/>
      <c r="E64" s="517">
        <f>$C$56</f>
        <v>50</v>
      </c>
      <c r="F64" s="537">
        <f>$C$52</f>
        <v>150</v>
      </c>
      <c r="G64" s="537">
        <f>E64*$C$53</f>
        <v>1.6666666666666667</v>
      </c>
      <c r="H64" s="537">
        <f>F64+G64</f>
        <v>151.66666666666666</v>
      </c>
      <c r="I64" s="537">
        <f>E64*$C$54</f>
        <v>8.7299999999999986</v>
      </c>
      <c r="J64" s="537">
        <f>I64-H64</f>
        <v>-142.93666666666667</v>
      </c>
    </row>
    <row r="65" spans="2:11">
      <c r="B65" s="465"/>
      <c r="C65" s="465"/>
      <c r="D65" s="489"/>
      <c r="E65" s="518">
        <f>E64+$C$57</f>
        <v>100</v>
      </c>
      <c r="F65" s="537">
        <f t="shared" ref="F65:F128" si="0">$C$52</f>
        <v>150</v>
      </c>
      <c r="G65" s="537">
        <f t="shared" ref="G65:G128" si="1">E65*$C$53</f>
        <v>3.3333333333333335</v>
      </c>
      <c r="H65" s="537">
        <f t="shared" ref="H65:H128" si="2">F65+G65</f>
        <v>153.33333333333334</v>
      </c>
      <c r="I65" s="537">
        <f t="shared" ref="I65:I128" si="3">E65*$C$54</f>
        <v>17.459999999999997</v>
      </c>
      <c r="J65" s="537">
        <f t="shared" ref="J65:J91" si="4">I65-H65</f>
        <v>-135.87333333333333</v>
      </c>
    </row>
    <row r="66" spans="2:11">
      <c r="B66" s="465"/>
      <c r="C66" s="465"/>
      <c r="D66" s="489"/>
      <c r="E66" s="518">
        <f t="shared" ref="E66:E129" si="5">E65+$C$57</f>
        <v>150</v>
      </c>
      <c r="F66" s="537">
        <f t="shared" si="0"/>
        <v>150</v>
      </c>
      <c r="G66" s="537">
        <f t="shared" si="1"/>
        <v>5</v>
      </c>
      <c r="H66" s="537">
        <f t="shared" si="2"/>
        <v>155</v>
      </c>
      <c r="I66" s="537">
        <f t="shared" si="3"/>
        <v>26.189999999999998</v>
      </c>
      <c r="J66" s="537">
        <f t="shared" si="4"/>
        <v>-128.81</v>
      </c>
    </row>
    <row r="67" spans="2:11">
      <c r="B67" s="465"/>
      <c r="C67" s="466"/>
      <c r="D67" s="489"/>
      <c r="E67" s="518">
        <f t="shared" si="5"/>
        <v>200</v>
      </c>
      <c r="F67" s="537">
        <f t="shared" si="0"/>
        <v>150</v>
      </c>
      <c r="G67" s="537">
        <f t="shared" si="1"/>
        <v>6.666666666666667</v>
      </c>
      <c r="H67" s="537">
        <f t="shared" si="2"/>
        <v>156.66666666666666</v>
      </c>
      <c r="I67" s="537">
        <f t="shared" si="3"/>
        <v>34.919999999999995</v>
      </c>
      <c r="J67" s="537">
        <f t="shared" si="4"/>
        <v>-121.74666666666667</v>
      </c>
      <c r="K67" s="470"/>
    </row>
    <row r="68" spans="2:11">
      <c r="B68" s="465"/>
      <c r="C68" s="492"/>
      <c r="D68" s="489"/>
      <c r="E68" s="518">
        <f t="shared" si="5"/>
        <v>250</v>
      </c>
      <c r="F68" s="537">
        <f t="shared" si="0"/>
        <v>150</v>
      </c>
      <c r="G68" s="537">
        <f t="shared" si="1"/>
        <v>8.3333333333333339</v>
      </c>
      <c r="H68" s="537">
        <f t="shared" si="2"/>
        <v>158.33333333333334</v>
      </c>
      <c r="I68" s="537">
        <f t="shared" si="3"/>
        <v>43.649999999999991</v>
      </c>
      <c r="J68" s="537">
        <f t="shared" si="4"/>
        <v>-114.68333333333335</v>
      </c>
      <c r="K68" s="102"/>
    </row>
    <row r="69" spans="2:11">
      <c r="B69" s="465"/>
      <c r="C69" s="492"/>
      <c r="D69" s="489"/>
      <c r="E69" s="518">
        <f t="shared" si="5"/>
        <v>300</v>
      </c>
      <c r="F69" s="537">
        <f t="shared" si="0"/>
        <v>150</v>
      </c>
      <c r="G69" s="537">
        <f t="shared" si="1"/>
        <v>10</v>
      </c>
      <c r="H69" s="537">
        <f t="shared" si="2"/>
        <v>160</v>
      </c>
      <c r="I69" s="537">
        <f t="shared" si="3"/>
        <v>52.379999999999995</v>
      </c>
      <c r="J69" s="537">
        <f t="shared" si="4"/>
        <v>-107.62</v>
      </c>
      <c r="K69" s="102"/>
    </row>
    <row r="70" spans="2:11">
      <c r="B70" s="489"/>
      <c r="C70" s="493"/>
      <c r="D70" s="489"/>
      <c r="E70" s="518">
        <f t="shared" si="5"/>
        <v>350</v>
      </c>
      <c r="F70" s="537">
        <f t="shared" si="0"/>
        <v>150</v>
      </c>
      <c r="G70" s="537">
        <f t="shared" si="1"/>
        <v>11.666666666666666</v>
      </c>
      <c r="H70" s="537">
        <f t="shared" si="2"/>
        <v>161.66666666666666</v>
      </c>
      <c r="I70" s="537">
        <f t="shared" si="3"/>
        <v>61.109999999999992</v>
      </c>
      <c r="J70" s="537">
        <f t="shared" si="4"/>
        <v>-100.55666666666667</v>
      </c>
      <c r="K70" s="102"/>
    </row>
    <row r="71" spans="2:11">
      <c r="B71" s="481"/>
      <c r="C71" s="482"/>
      <c r="D71" s="482"/>
      <c r="E71" s="518">
        <f t="shared" si="5"/>
        <v>400</v>
      </c>
      <c r="F71" s="537">
        <f t="shared" si="0"/>
        <v>150</v>
      </c>
      <c r="G71" s="537">
        <f t="shared" si="1"/>
        <v>13.333333333333334</v>
      </c>
      <c r="H71" s="537">
        <f t="shared" si="2"/>
        <v>163.33333333333334</v>
      </c>
      <c r="I71" s="537">
        <f t="shared" si="3"/>
        <v>69.839999999999989</v>
      </c>
      <c r="J71" s="537">
        <f t="shared" si="4"/>
        <v>-93.493333333333354</v>
      </c>
      <c r="K71" s="102"/>
    </row>
    <row r="72" spans="2:11">
      <c r="B72" s="483"/>
      <c r="C72" s="484"/>
      <c r="D72" s="494"/>
      <c r="E72" s="518">
        <f t="shared" si="5"/>
        <v>450</v>
      </c>
      <c r="F72" s="537">
        <f t="shared" si="0"/>
        <v>150</v>
      </c>
      <c r="G72" s="537">
        <f t="shared" si="1"/>
        <v>15</v>
      </c>
      <c r="H72" s="537">
        <f t="shared" si="2"/>
        <v>165</v>
      </c>
      <c r="I72" s="537">
        <f t="shared" si="3"/>
        <v>78.569999999999993</v>
      </c>
      <c r="J72" s="537">
        <f t="shared" si="4"/>
        <v>-86.43</v>
      </c>
      <c r="K72" s="102"/>
    </row>
    <row r="73" spans="2:11" s="103" customFormat="1">
      <c r="B73" s="483"/>
      <c r="C73" s="484"/>
      <c r="D73" s="494"/>
      <c r="E73" s="518">
        <f t="shared" si="5"/>
        <v>500</v>
      </c>
      <c r="F73" s="537">
        <f t="shared" si="0"/>
        <v>150</v>
      </c>
      <c r="G73" s="537">
        <f t="shared" si="1"/>
        <v>16.666666666666668</v>
      </c>
      <c r="H73" s="537">
        <f t="shared" si="2"/>
        <v>166.66666666666666</v>
      </c>
      <c r="I73" s="537">
        <f t="shared" si="3"/>
        <v>87.299999999999983</v>
      </c>
      <c r="J73" s="537">
        <f t="shared" si="4"/>
        <v>-79.366666666666674</v>
      </c>
      <c r="K73" s="102"/>
    </row>
    <row r="74" spans="2:11">
      <c r="B74" s="483"/>
      <c r="C74" s="484"/>
      <c r="D74" s="494"/>
      <c r="E74" s="518">
        <f t="shared" si="5"/>
        <v>550</v>
      </c>
      <c r="F74" s="537">
        <f t="shared" si="0"/>
        <v>150</v>
      </c>
      <c r="G74" s="537">
        <f t="shared" si="1"/>
        <v>18.333333333333332</v>
      </c>
      <c r="H74" s="537">
        <f t="shared" si="2"/>
        <v>168.33333333333334</v>
      </c>
      <c r="I74" s="537">
        <f t="shared" si="3"/>
        <v>96.029999999999987</v>
      </c>
      <c r="J74" s="537">
        <f t="shared" si="4"/>
        <v>-72.303333333333356</v>
      </c>
      <c r="K74" s="102"/>
    </row>
    <row r="75" spans="2:11">
      <c r="B75" s="483"/>
      <c r="C75" s="484"/>
      <c r="D75" s="494"/>
      <c r="E75" s="518">
        <f t="shared" si="5"/>
        <v>600</v>
      </c>
      <c r="F75" s="537">
        <f t="shared" si="0"/>
        <v>150</v>
      </c>
      <c r="G75" s="537">
        <f t="shared" si="1"/>
        <v>20</v>
      </c>
      <c r="H75" s="537">
        <f t="shared" si="2"/>
        <v>170</v>
      </c>
      <c r="I75" s="537">
        <f t="shared" si="3"/>
        <v>104.75999999999999</v>
      </c>
      <c r="J75" s="537">
        <f t="shared" si="4"/>
        <v>-65.240000000000009</v>
      </c>
      <c r="K75" s="102"/>
    </row>
    <row r="76" spans="2:11">
      <c r="B76" s="485"/>
      <c r="C76" s="486"/>
      <c r="D76" s="495"/>
      <c r="E76" s="518">
        <f t="shared" si="5"/>
        <v>650</v>
      </c>
      <c r="F76" s="537">
        <f t="shared" si="0"/>
        <v>150</v>
      </c>
      <c r="G76" s="537">
        <f t="shared" si="1"/>
        <v>21.666666666666668</v>
      </c>
      <c r="H76" s="537">
        <f t="shared" si="2"/>
        <v>171.66666666666666</v>
      </c>
      <c r="I76" s="537">
        <f t="shared" si="3"/>
        <v>113.48999999999998</v>
      </c>
      <c r="J76" s="537">
        <f t="shared" si="4"/>
        <v>-58.176666666666677</v>
      </c>
      <c r="K76" s="102"/>
    </row>
    <row r="77" spans="2:11">
      <c r="B77" s="481"/>
      <c r="C77" s="481"/>
      <c r="D77" s="482"/>
      <c r="E77" s="518">
        <f t="shared" si="5"/>
        <v>700</v>
      </c>
      <c r="F77" s="537">
        <f t="shared" si="0"/>
        <v>150</v>
      </c>
      <c r="G77" s="537">
        <f t="shared" si="1"/>
        <v>23.333333333333332</v>
      </c>
      <c r="H77" s="537">
        <f t="shared" si="2"/>
        <v>173.33333333333334</v>
      </c>
      <c r="I77" s="537">
        <f t="shared" si="3"/>
        <v>122.21999999999998</v>
      </c>
      <c r="J77" s="537">
        <f t="shared" si="4"/>
        <v>-51.113333333333358</v>
      </c>
      <c r="K77" s="102"/>
    </row>
    <row r="78" spans="2:11">
      <c r="B78" s="483"/>
      <c r="C78" s="487"/>
      <c r="D78" s="495"/>
      <c r="E78" s="518">
        <f t="shared" si="5"/>
        <v>750</v>
      </c>
      <c r="F78" s="537">
        <f t="shared" si="0"/>
        <v>150</v>
      </c>
      <c r="G78" s="537">
        <f t="shared" si="1"/>
        <v>25</v>
      </c>
      <c r="H78" s="537">
        <f t="shared" si="2"/>
        <v>175</v>
      </c>
      <c r="I78" s="537">
        <f t="shared" si="3"/>
        <v>130.94999999999999</v>
      </c>
      <c r="J78" s="537">
        <f t="shared" si="4"/>
        <v>-44.050000000000011</v>
      </c>
      <c r="K78" s="102"/>
    </row>
    <row r="79" spans="2:11">
      <c r="B79" s="483"/>
      <c r="C79" s="487"/>
      <c r="D79" s="495"/>
      <c r="E79" s="518">
        <f t="shared" si="5"/>
        <v>800</v>
      </c>
      <c r="F79" s="537">
        <f t="shared" si="0"/>
        <v>150</v>
      </c>
      <c r="G79" s="537">
        <f t="shared" si="1"/>
        <v>26.666666666666668</v>
      </c>
      <c r="H79" s="537">
        <f t="shared" si="2"/>
        <v>176.66666666666666</v>
      </c>
      <c r="I79" s="537">
        <f t="shared" si="3"/>
        <v>139.67999999999998</v>
      </c>
      <c r="J79" s="537">
        <f t="shared" si="4"/>
        <v>-36.986666666666679</v>
      </c>
      <c r="K79" s="102"/>
    </row>
    <row r="80" spans="2:11">
      <c r="B80" s="483"/>
      <c r="C80" s="487"/>
      <c r="D80" s="495"/>
      <c r="E80" s="518">
        <f t="shared" si="5"/>
        <v>850</v>
      </c>
      <c r="F80" s="537">
        <f t="shared" si="0"/>
        <v>150</v>
      </c>
      <c r="G80" s="537">
        <f t="shared" si="1"/>
        <v>28.333333333333332</v>
      </c>
      <c r="H80" s="537">
        <f t="shared" si="2"/>
        <v>178.33333333333334</v>
      </c>
      <c r="I80" s="537">
        <f t="shared" si="3"/>
        <v>148.40999999999997</v>
      </c>
      <c r="J80" s="537">
        <f t="shared" si="4"/>
        <v>-29.923333333333375</v>
      </c>
      <c r="K80" s="102"/>
    </row>
    <row r="81" spans="2:11">
      <c r="B81" s="483"/>
      <c r="C81" s="487"/>
      <c r="D81" s="495"/>
      <c r="E81" s="518">
        <f t="shared" si="5"/>
        <v>900</v>
      </c>
      <c r="F81" s="537">
        <f t="shared" si="0"/>
        <v>150</v>
      </c>
      <c r="G81" s="537">
        <f t="shared" si="1"/>
        <v>30</v>
      </c>
      <c r="H81" s="537">
        <f t="shared" si="2"/>
        <v>180</v>
      </c>
      <c r="I81" s="537">
        <f t="shared" si="3"/>
        <v>157.13999999999999</v>
      </c>
      <c r="J81" s="537">
        <f t="shared" si="4"/>
        <v>-22.860000000000014</v>
      </c>
      <c r="K81" s="102"/>
    </row>
    <row r="82" spans="2:11">
      <c r="B82" s="458"/>
      <c r="C82" s="458"/>
      <c r="D82" s="461"/>
      <c r="E82" s="518">
        <f t="shared" si="5"/>
        <v>950</v>
      </c>
      <c r="F82" s="537">
        <f t="shared" si="0"/>
        <v>150</v>
      </c>
      <c r="G82" s="537">
        <f t="shared" si="1"/>
        <v>31.666666666666668</v>
      </c>
      <c r="H82" s="537">
        <f t="shared" si="2"/>
        <v>181.66666666666666</v>
      </c>
      <c r="I82" s="537">
        <f t="shared" si="3"/>
        <v>165.86999999999998</v>
      </c>
      <c r="J82" s="537">
        <f t="shared" si="4"/>
        <v>-15.796666666666681</v>
      </c>
      <c r="K82" s="102"/>
    </row>
    <row r="83" spans="2:11">
      <c r="D83" s="461"/>
      <c r="E83" s="518">
        <f t="shared" si="5"/>
        <v>1000</v>
      </c>
      <c r="F83" s="537">
        <f t="shared" si="0"/>
        <v>150</v>
      </c>
      <c r="G83" s="537">
        <f t="shared" si="1"/>
        <v>33.333333333333336</v>
      </c>
      <c r="H83" s="537">
        <f t="shared" si="2"/>
        <v>183.33333333333334</v>
      </c>
      <c r="I83" s="537">
        <f t="shared" si="3"/>
        <v>174.59999999999997</v>
      </c>
      <c r="J83" s="537">
        <f t="shared" si="4"/>
        <v>-8.7333333333333769</v>
      </c>
      <c r="K83" s="102"/>
    </row>
    <row r="84" spans="2:11">
      <c r="D84" s="461"/>
      <c r="E84" s="518">
        <f t="shared" si="5"/>
        <v>1050</v>
      </c>
      <c r="F84" s="537">
        <f t="shared" si="0"/>
        <v>150</v>
      </c>
      <c r="G84" s="537">
        <f t="shared" si="1"/>
        <v>35</v>
      </c>
      <c r="H84" s="537">
        <f t="shared" si="2"/>
        <v>185</v>
      </c>
      <c r="I84" s="537">
        <f t="shared" si="3"/>
        <v>183.32999999999998</v>
      </c>
      <c r="J84" s="537">
        <f t="shared" si="4"/>
        <v>-1.6700000000000159</v>
      </c>
      <c r="K84" s="102"/>
    </row>
    <row r="85" spans="2:11">
      <c r="D85" s="461"/>
      <c r="E85" s="518">
        <f t="shared" si="5"/>
        <v>1100</v>
      </c>
      <c r="F85" s="537">
        <f t="shared" si="0"/>
        <v>150</v>
      </c>
      <c r="G85" s="537">
        <f t="shared" si="1"/>
        <v>36.666666666666664</v>
      </c>
      <c r="H85" s="537">
        <f t="shared" si="2"/>
        <v>186.66666666666666</v>
      </c>
      <c r="I85" s="537">
        <f t="shared" si="3"/>
        <v>192.05999999999997</v>
      </c>
      <c r="J85" s="537">
        <f t="shared" si="4"/>
        <v>5.3933333333333167</v>
      </c>
      <c r="K85" s="102"/>
    </row>
    <row r="86" spans="2:11">
      <c r="D86" s="461"/>
      <c r="E86" s="518">
        <f t="shared" si="5"/>
        <v>1150</v>
      </c>
      <c r="F86" s="537">
        <f t="shared" si="0"/>
        <v>150</v>
      </c>
      <c r="G86" s="537">
        <f t="shared" si="1"/>
        <v>38.333333333333336</v>
      </c>
      <c r="H86" s="537">
        <f t="shared" si="2"/>
        <v>188.33333333333334</v>
      </c>
      <c r="I86" s="537">
        <f t="shared" si="3"/>
        <v>200.78999999999996</v>
      </c>
      <c r="J86" s="537">
        <f t="shared" si="4"/>
        <v>12.456666666666621</v>
      </c>
      <c r="K86" s="102"/>
    </row>
    <row r="87" spans="2:11">
      <c r="D87" s="461"/>
      <c r="E87" s="518">
        <f t="shared" si="5"/>
        <v>1200</v>
      </c>
      <c r="F87" s="537">
        <f t="shared" si="0"/>
        <v>150</v>
      </c>
      <c r="G87" s="537">
        <f t="shared" si="1"/>
        <v>40</v>
      </c>
      <c r="H87" s="537">
        <f t="shared" si="2"/>
        <v>190</v>
      </c>
      <c r="I87" s="537">
        <f t="shared" si="3"/>
        <v>209.51999999999998</v>
      </c>
      <c r="J87" s="537">
        <f t="shared" si="4"/>
        <v>19.519999999999982</v>
      </c>
      <c r="K87" s="102"/>
    </row>
    <row r="88" spans="2:11">
      <c r="D88" s="461"/>
      <c r="E88" s="518">
        <f t="shared" si="5"/>
        <v>1250</v>
      </c>
      <c r="F88" s="537">
        <f t="shared" si="0"/>
        <v>150</v>
      </c>
      <c r="G88" s="537">
        <f t="shared" si="1"/>
        <v>41.666666666666664</v>
      </c>
      <c r="H88" s="537">
        <f t="shared" si="2"/>
        <v>191.66666666666666</v>
      </c>
      <c r="I88" s="537">
        <f t="shared" si="3"/>
        <v>218.24999999999997</v>
      </c>
      <c r="J88" s="537">
        <f t="shared" si="4"/>
        <v>26.583333333333314</v>
      </c>
      <c r="K88" s="102"/>
    </row>
    <row r="89" spans="2:11">
      <c r="D89" s="461"/>
      <c r="E89" s="518">
        <f t="shared" si="5"/>
        <v>1300</v>
      </c>
      <c r="F89" s="537">
        <f t="shared" si="0"/>
        <v>150</v>
      </c>
      <c r="G89" s="537">
        <f t="shared" si="1"/>
        <v>43.333333333333336</v>
      </c>
      <c r="H89" s="537">
        <f t="shared" si="2"/>
        <v>193.33333333333334</v>
      </c>
      <c r="I89" s="537">
        <f t="shared" si="3"/>
        <v>226.97999999999996</v>
      </c>
      <c r="J89" s="537">
        <f t="shared" si="4"/>
        <v>33.646666666666619</v>
      </c>
    </row>
    <row r="90" spans="2:11">
      <c r="D90" s="461"/>
      <c r="E90" s="518">
        <f t="shared" si="5"/>
        <v>1350</v>
      </c>
      <c r="F90" s="537">
        <f t="shared" si="0"/>
        <v>150</v>
      </c>
      <c r="G90" s="537">
        <f t="shared" si="1"/>
        <v>45</v>
      </c>
      <c r="H90" s="537">
        <f t="shared" si="2"/>
        <v>195</v>
      </c>
      <c r="I90" s="537">
        <f t="shared" si="3"/>
        <v>235.70999999999998</v>
      </c>
      <c r="J90" s="537">
        <f t="shared" si="4"/>
        <v>40.70999999999998</v>
      </c>
    </row>
    <row r="91" spans="2:11">
      <c r="D91" s="461"/>
      <c r="E91" s="518">
        <f t="shared" si="5"/>
        <v>1400</v>
      </c>
      <c r="F91" s="537">
        <f t="shared" si="0"/>
        <v>150</v>
      </c>
      <c r="G91" s="537">
        <f t="shared" si="1"/>
        <v>46.666666666666664</v>
      </c>
      <c r="H91" s="537">
        <f t="shared" si="2"/>
        <v>196.66666666666666</v>
      </c>
      <c r="I91" s="537">
        <f t="shared" si="3"/>
        <v>244.43999999999997</v>
      </c>
      <c r="J91" s="537">
        <f t="shared" si="4"/>
        <v>47.773333333333312</v>
      </c>
    </row>
    <row r="92" spans="2:11">
      <c r="D92" s="461"/>
      <c r="E92" s="518">
        <f>E91+$C$57</f>
        <v>1450</v>
      </c>
      <c r="F92" s="537">
        <f t="shared" si="0"/>
        <v>150</v>
      </c>
      <c r="G92" s="537">
        <f t="shared" si="1"/>
        <v>48.333333333333336</v>
      </c>
      <c r="H92" s="537">
        <f t="shared" si="2"/>
        <v>198.33333333333334</v>
      </c>
      <c r="I92" s="537">
        <f t="shared" si="3"/>
        <v>253.16999999999996</v>
      </c>
      <c r="J92" s="537">
        <f t="shared" ref="J92:J128" si="6">I92-H92</f>
        <v>54.836666666666616</v>
      </c>
    </row>
    <row r="93" spans="2:11">
      <c r="D93" s="461"/>
      <c r="E93" s="518">
        <f t="shared" si="5"/>
        <v>1500</v>
      </c>
      <c r="F93" s="537">
        <f t="shared" si="0"/>
        <v>150</v>
      </c>
      <c r="G93" s="537">
        <f t="shared" si="1"/>
        <v>50</v>
      </c>
      <c r="H93" s="537">
        <f t="shared" si="2"/>
        <v>200</v>
      </c>
      <c r="I93" s="537">
        <f t="shared" si="3"/>
        <v>261.89999999999998</v>
      </c>
      <c r="J93" s="537">
        <f t="shared" si="6"/>
        <v>61.899999999999977</v>
      </c>
    </row>
    <row r="94" spans="2:11">
      <c r="D94" s="461"/>
      <c r="E94" s="518">
        <f t="shared" si="5"/>
        <v>1550</v>
      </c>
      <c r="F94" s="537">
        <f t="shared" si="0"/>
        <v>150</v>
      </c>
      <c r="G94" s="537">
        <f t="shared" si="1"/>
        <v>51.666666666666664</v>
      </c>
      <c r="H94" s="537">
        <f t="shared" si="2"/>
        <v>201.66666666666666</v>
      </c>
      <c r="I94" s="537">
        <f t="shared" si="3"/>
        <v>270.62999999999994</v>
      </c>
      <c r="J94" s="537">
        <f t="shared" si="6"/>
        <v>68.963333333333281</v>
      </c>
    </row>
    <row r="95" spans="2:11">
      <c r="D95" s="461"/>
      <c r="E95" s="518">
        <f t="shared" si="5"/>
        <v>1600</v>
      </c>
      <c r="F95" s="537">
        <f t="shared" si="0"/>
        <v>150</v>
      </c>
      <c r="G95" s="537">
        <f t="shared" si="1"/>
        <v>53.333333333333336</v>
      </c>
      <c r="H95" s="537">
        <f t="shared" si="2"/>
        <v>203.33333333333334</v>
      </c>
      <c r="I95" s="537">
        <f t="shared" si="3"/>
        <v>279.35999999999996</v>
      </c>
      <c r="J95" s="537">
        <f t="shared" si="6"/>
        <v>76.026666666666614</v>
      </c>
    </row>
    <row r="96" spans="2:11">
      <c r="D96" s="461"/>
      <c r="E96" s="518">
        <f t="shared" si="5"/>
        <v>1650</v>
      </c>
      <c r="F96" s="537">
        <f t="shared" si="0"/>
        <v>150</v>
      </c>
      <c r="G96" s="537">
        <f t="shared" si="1"/>
        <v>55</v>
      </c>
      <c r="H96" s="537">
        <f t="shared" si="2"/>
        <v>205</v>
      </c>
      <c r="I96" s="537">
        <f t="shared" si="3"/>
        <v>288.08999999999997</v>
      </c>
      <c r="J96" s="537">
        <f t="shared" si="6"/>
        <v>83.089999999999975</v>
      </c>
    </row>
    <row r="97" spans="4:10">
      <c r="D97" s="461"/>
      <c r="E97" s="518">
        <f t="shared" si="5"/>
        <v>1700</v>
      </c>
      <c r="F97" s="537">
        <f t="shared" si="0"/>
        <v>150</v>
      </c>
      <c r="G97" s="537">
        <f t="shared" si="1"/>
        <v>56.666666666666664</v>
      </c>
      <c r="H97" s="537">
        <f t="shared" si="2"/>
        <v>206.66666666666666</v>
      </c>
      <c r="I97" s="537">
        <f t="shared" si="3"/>
        <v>296.81999999999994</v>
      </c>
      <c r="J97" s="537">
        <f t="shared" si="6"/>
        <v>90.153333333333279</v>
      </c>
    </row>
    <row r="98" spans="4:10">
      <c r="D98" s="461"/>
      <c r="E98" s="518">
        <f t="shared" si="5"/>
        <v>1750</v>
      </c>
      <c r="F98" s="537">
        <f t="shared" si="0"/>
        <v>150</v>
      </c>
      <c r="G98" s="537">
        <f t="shared" si="1"/>
        <v>58.333333333333336</v>
      </c>
      <c r="H98" s="537">
        <f t="shared" si="2"/>
        <v>208.33333333333334</v>
      </c>
      <c r="I98" s="537">
        <f t="shared" si="3"/>
        <v>305.54999999999995</v>
      </c>
      <c r="J98" s="537">
        <f t="shared" si="6"/>
        <v>97.216666666666612</v>
      </c>
    </row>
    <row r="99" spans="4:10">
      <c r="D99" s="461"/>
      <c r="E99" s="518">
        <f t="shared" si="5"/>
        <v>1800</v>
      </c>
      <c r="F99" s="537">
        <f t="shared" si="0"/>
        <v>150</v>
      </c>
      <c r="G99" s="537">
        <f t="shared" si="1"/>
        <v>60</v>
      </c>
      <c r="H99" s="537">
        <f t="shared" si="2"/>
        <v>210</v>
      </c>
      <c r="I99" s="537">
        <f t="shared" si="3"/>
        <v>314.27999999999997</v>
      </c>
      <c r="J99" s="537">
        <f t="shared" si="6"/>
        <v>104.27999999999997</v>
      </c>
    </row>
    <row r="100" spans="4:10">
      <c r="D100" s="461"/>
      <c r="E100" s="518">
        <f t="shared" si="5"/>
        <v>1850</v>
      </c>
      <c r="F100" s="537">
        <f t="shared" si="0"/>
        <v>150</v>
      </c>
      <c r="G100" s="537">
        <f t="shared" si="1"/>
        <v>61.666666666666664</v>
      </c>
      <c r="H100" s="537">
        <f t="shared" si="2"/>
        <v>211.66666666666666</v>
      </c>
      <c r="I100" s="537">
        <f t="shared" si="3"/>
        <v>323.00999999999993</v>
      </c>
      <c r="J100" s="537">
        <f t="shared" si="6"/>
        <v>111.34333333333328</v>
      </c>
    </row>
    <row r="101" spans="4:10">
      <c r="D101" s="461"/>
      <c r="E101" s="518">
        <f t="shared" si="5"/>
        <v>1900</v>
      </c>
      <c r="F101" s="537">
        <f t="shared" si="0"/>
        <v>150</v>
      </c>
      <c r="G101" s="537">
        <f t="shared" si="1"/>
        <v>63.333333333333336</v>
      </c>
      <c r="H101" s="537">
        <f t="shared" si="2"/>
        <v>213.33333333333334</v>
      </c>
      <c r="I101" s="537">
        <f t="shared" si="3"/>
        <v>331.73999999999995</v>
      </c>
      <c r="J101" s="537">
        <f t="shared" si="6"/>
        <v>118.40666666666661</v>
      </c>
    </row>
    <row r="102" spans="4:10">
      <c r="D102" s="461"/>
      <c r="E102" s="518">
        <f t="shared" si="5"/>
        <v>1950</v>
      </c>
      <c r="F102" s="537">
        <f t="shared" si="0"/>
        <v>150</v>
      </c>
      <c r="G102" s="537">
        <f t="shared" si="1"/>
        <v>65</v>
      </c>
      <c r="H102" s="537">
        <f t="shared" si="2"/>
        <v>215</v>
      </c>
      <c r="I102" s="537">
        <f t="shared" si="3"/>
        <v>340.46999999999997</v>
      </c>
      <c r="J102" s="537">
        <f t="shared" si="6"/>
        <v>125.46999999999997</v>
      </c>
    </row>
    <row r="103" spans="4:10">
      <c r="D103" s="461"/>
      <c r="E103" s="518">
        <f t="shared" si="5"/>
        <v>2000</v>
      </c>
      <c r="F103" s="537">
        <f t="shared" si="0"/>
        <v>150</v>
      </c>
      <c r="G103" s="537">
        <f t="shared" si="1"/>
        <v>66.666666666666671</v>
      </c>
      <c r="H103" s="537">
        <f t="shared" si="2"/>
        <v>216.66666666666669</v>
      </c>
      <c r="I103" s="537">
        <f t="shared" si="3"/>
        <v>349.19999999999993</v>
      </c>
      <c r="J103" s="537">
        <f t="shared" si="6"/>
        <v>132.53333333333325</v>
      </c>
    </row>
    <row r="104" spans="4:10">
      <c r="D104" s="461"/>
      <c r="E104" s="518">
        <f t="shared" si="5"/>
        <v>2050</v>
      </c>
      <c r="F104" s="537">
        <f t="shared" si="0"/>
        <v>150</v>
      </c>
      <c r="G104" s="537">
        <f t="shared" si="1"/>
        <v>68.333333333333329</v>
      </c>
      <c r="H104" s="537">
        <f t="shared" si="2"/>
        <v>218.33333333333331</v>
      </c>
      <c r="I104" s="537">
        <f t="shared" si="3"/>
        <v>357.92999999999995</v>
      </c>
      <c r="J104" s="537">
        <f t="shared" si="6"/>
        <v>139.59666666666664</v>
      </c>
    </row>
    <row r="105" spans="4:10">
      <c r="D105" s="461"/>
      <c r="E105" s="518">
        <f t="shared" si="5"/>
        <v>2100</v>
      </c>
      <c r="F105" s="537">
        <f t="shared" si="0"/>
        <v>150</v>
      </c>
      <c r="G105" s="537">
        <f t="shared" si="1"/>
        <v>70</v>
      </c>
      <c r="H105" s="537">
        <f t="shared" si="2"/>
        <v>220</v>
      </c>
      <c r="I105" s="537">
        <f t="shared" si="3"/>
        <v>366.65999999999997</v>
      </c>
      <c r="J105" s="537">
        <f t="shared" si="6"/>
        <v>146.65999999999997</v>
      </c>
    </row>
    <row r="106" spans="4:10">
      <c r="D106" s="461"/>
      <c r="E106" s="518">
        <f t="shared" si="5"/>
        <v>2150</v>
      </c>
      <c r="F106" s="537">
        <f t="shared" si="0"/>
        <v>150</v>
      </c>
      <c r="G106" s="537">
        <f t="shared" si="1"/>
        <v>71.666666666666671</v>
      </c>
      <c r="H106" s="537">
        <f t="shared" si="2"/>
        <v>221.66666666666669</v>
      </c>
      <c r="I106" s="537">
        <f t="shared" si="3"/>
        <v>375.38999999999993</v>
      </c>
      <c r="J106" s="537">
        <f t="shared" si="6"/>
        <v>153.72333333333324</v>
      </c>
    </row>
    <row r="107" spans="4:10">
      <c r="D107" s="461"/>
      <c r="E107" s="518">
        <f t="shared" si="5"/>
        <v>2200</v>
      </c>
      <c r="F107" s="537">
        <f t="shared" si="0"/>
        <v>150</v>
      </c>
      <c r="G107" s="537">
        <f t="shared" si="1"/>
        <v>73.333333333333329</v>
      </c>
      <c r="H107" s="537">
        <f t="shared" si="2"/>
        <v>223.33333333333331</v>
      </c>
      <c r="I107" s="537">
        <f t="shared" si="3"/>
        <v>384.11999999999995</v>
      </c>
      <c r="J107" s="537">
        <f t="shared" si="6"/>
        <v>160.78666666666663</v>
      </c>
    </row>
    <row r="108" spans="4:10">
      <c r="D108" s="461"/>
      <c r="E108" s="518">
        <f t="shared" si="5"/>
        <v>2250</v>
      </c>
      <c r="F108" s="537">
        <f t="shared" si="0"/>
        <v>150</v>
      </c>
      <c r="G108" s="537">
        <f t="shared" si="1"/>
        <v>75</v>
      </c>
      <c r="H108" s="537">
        <f t="shared" si="2"/>
        <v>225</v>
      </c>
      <c r="I108" s="537">
        <f t="shared" si="3"/>
        <v>392.84999999999997</v>
      </c>
      <c r="J108" s="537">
        <f t="shared" si="6"/>
        <v>167.84999999999997</v>
      </c>
    </row>
    <row r="109" spans="4:10">
      <c r="D109" s="461"/>
      <c r="E109" s="518">
        <f t="shared" si="5"/>
        <v>2300</v>
      </c>
      <c r="F109" s="537">
        <f t="shared" si="0"/>
        <v>150</v>
      </c>
      <c r="G109" s="537">
        <f t="shared" si="1"/>
        <v>76.666666666666671</v>
      </c>
      <c r="H109" s="537">
        <f t="shared" si="2"/>
        <v>226.66666666666669</v>
      </c>
      <c r="I109" s="537">
        <f t="shared" si="3"/>
        <v>401.57999999999993</v>
      </c>
      <c r="J109" s="537">
        <f t="shared" si="6"/>
        <v>174.91333333333324</v>
      </c>
    </row>
    <row r="110" spans="4:10">
      <c r="D110" s="461"/>
      <c r="E110" s="518">
        <f t="shared" si="5"/>
        <v>2350</v>
      </c>
      <c r="F110" s="537">
        <f t="shared" si="0"/>
        <v>150</v>
      </c>
      <c r="G110" s="537">
        <f t="shared" si="1"/>
        <v>78.333333333333329</v>
      </c>
      <c r="H110" s="537">
        <f t="shared" si="2"/>
        <v>228.33333333333331</v>
      </c>
      <c r="I110" s="537">
        <f t="shared" si="3"/>
        <v>410.30999999999995</v>
      </c>
      <c r="J110" s="537">
        <f t="shared" si="6"/>
        <v>181.97666666666663</v>
      </c>
    </row>
    <row r="111" spans="4:10">
      <c r="D111" s="461"/>
      <c r="E111" s="518">
        <f t="shared" si="5"/>
        <v>2400</v>
      </c>
      <c r="F111" s="537">
        <f t="shared" si="0"/>
        <v>150</v>
      </c>
      <c r="G111" s="537">
        <f t="shared" si="1"/>
        <v>80</v>
      </c>
      <c r="H111" s="537">
        <f t="shared" si="2"/>
        <v>230</v>
      </c>
      <c r="I111" s="537">
        <f t="shared" si="3"/>
        <v>419.03999999999996</v>
      </c>
      <c r="J111" s="537">
        <f t="shared" si="6"/>
        <v>189.03999999999996</v>
      </c>
    </row>
    <row r="112" spans="4:10">
      <c r="D112" s="461"/>
      <c r="E112" s="518">
        <f t="shared" si="5"/>
        <v>2450</v>
      </c>
      <c r="F112" s="537">
        <f t="shared" si="0"/>
        <v>150</v>
      </c>
      <c r="G112" s="537">
        <f t="shared" si="1"/>
        <v>81.666666666666671</v>
      </c>
      <c r="H112" s="537">
        <f t="shared" si="2"/>
        <v>231.66666666666669</v>
      </c>
      <c r="I112" s="537">
        <f t="shared" si="3"/>
        <v>427.76999999999992</v>
      </c>
      <c r="J112" s="537">
        <f t="shared" si="6"/>
        <v>196.10333333333324</v>
      </c>
    </row>
    <row r="113" spans="4:10">
      <c r="D113" s="461"/>
      <c r="E113" s="518">
        <f t="shared" si="5"/>
        <v>2500</v>
      </c>
      <c r="F113" s="537">
        <f t="shared" si="0"/>
        <v>150</v>
      </c>
      <c r="G113" s="537">
        <f t="shared" si="1"/>
        <v>83.333333333333329</v>
      </c>
      <c r="H113" s="537">
        <f t="shared" si="2"/>
        <v>233.33333333333331</v>
      </c>
      <c r="I113" s="537">
        <f t="shared" si="3"/>
        <v>436.49999999999994</v>
      </c>
      <c r="J113" s="537">
        <f t="shared" si="6"/>
        <v>203.16666666666663</v>
      </c>
    </row>
    <row r="114" spans="4:10">
      <c r="D114" s="461"/>
      <c r="E114" s="518">
        <f t="shared" si="5"/>
        <v>2550</v>
      </c>
      <c r="F114" s="537">
        <f t="shared" si="0"/>
        <v>150</v>
      </c>
      <c r="G114" s="537">
        <f t="shared" si="1"/>
        <v>85</v>
      </c>
      <c r="H114" s="537">
        <f t="shared" si="2"/>
        <v>235</v>
      </c>
      <c r="I114" s="537">
        <f t="shared" si="3"/>
        <v>445.22999999999996</v>
      </c>
      <c r="J114" s="537">
        <f t="shared" si="6"/>
        <v>210.22999999999996</v>
      </c>
    </row>
    <row r="115" spans="4:10">
      <c r="D115" s="461"/>
      <c r="E115" s="518">
        <f t="shared" si="5"/>
        <v>2600</v>
      </c>
      <c r="F115" s="537">
        <f t="shared" si="0"/>
        <v>150</v>
      </c>
      <c r="G115" s="537">
        <f t="shared" si="1"/>
        <v>86.666666666666671</v>
      </c>
      <c r="H115" s="537">
        <f t="shared" si="2"/>
        <v>236.66666666666669</v>
      </c>
      <c r="I115" s="537">
        <f t="shared" si="3"/>
        <v>453.95999999999992</v>
      </c>
      <c r="J115" s="537">
        <f t="shared" si="6"/>
        <v>217.29333333333324</v>
      </c>
    </row>
    <row r="116" spans="4:10">
      <c r="D116" s="461"/>
      <c r="E116" s="518">
        <f t="shared" si="5"/>
        <v>2650</v>
      </c>
      <c r="F116" s="537">
        <f t="shared" si="0"/>
        <v>150</v>
      </c>
      <c r="G116" s="537">
        <f t="shared" si="1"/>
        <v>88.333333333333329</v>
      </c>
      <c r="H116" s="537">
        <f t="shared" si="2"/>
        <v>238.33333333333331</v>
      </c>
      <c r="I116" s="537">
        <f t="shared" si="3"/>
        <v>462.68999999999994</v>
      </c>
      <c r="J116" s="537">
        <f t="shared" si="6"/>
        <v>224.35666666666663</v>
      </c>
    </row>
    <row r="117" spans="4:10">
      <c r="D117" s="461"/>
      <c r="E117" s="518">
        <f t="shared" si="5"/>
        <v>2700</v>
      </c>
      <c r="F117" s="537">
        <f t="shared" si="0"/>
        <v>150</v>
      </c>
      <c r="G117" s="537">
        <f t="shared" si="1"/>
        <v>90</v>
      </c>
      <c r="H117" s="537">
        <f t="shared" si="2"/>
        <v>240</v>
      </c>
      <c r="I117" s="537">
        <f t="shared" si="3"/>
        <v>471.41999999999996</v>
      </c>
      <c r="J117" s="537">
        <f t="shared" si="6"/>
        <v>231.41999999999996</v>
      </c>
    </row>
    <row r="118" spans="4:10">
      <c r="D118" s="461"/>
      <c r="E118" s="518">
        <f t="shared" si="5"/>
        <v>2750</v>
      </c>
      <c r="F118" s="537">
        <f t="shared" si="0"/>
        <v>150</v>
      </c>
      <c r="G118" s="537">
        <f t="shared" si="1"/>
        <v>91.666666666666671</v>
      </c>
      <c r="H118" s="537">
        <f t="shared" si="2"/>
        <v>241.66666666666669</v>
      </c>
      <c r="I118" s="537">
        <f t="shared" si="3"/>
        <v>480.14999999999992</v>
      </c>
      <c r="J118" s="537">
        <f t="shared" si="6"/>
        <v>238.48333333333323</v>
      </c>
    </row>
    <row r="119" spans="4:10">
      <c r="D119" s="461"/>
      <c r="E119" s="519">
        <f t="shared" si="5"/>
        <v>2800</v>
      </c>
      <c r="F119" s="538">
        <f t="shared" si="0"/>
        <v>150</v>
      </c>
      <c r="G119" s="538">
        <f t="shared" si="1"/>
        <v>93.333333333333329</v>
      </c>
      <c r="H119" s="538">
        <f t="shared" si="2"/>
        <v>243.33333333333331</v>
      </c>
      <c r="I119" s="538">
        <f t="shared" si="3"/>
        <v>488.87999999999994</v>
      </c>
      <c r="J119" s="538">
        <f t="shared" si="6"/>
        <v>245.54666666666662</v>
      </c>
    </row>
    <row r="120" spans="4:10">
      <c r="D120" s="461"/>
      <c r="E120" s="518">
        <f t="shared" si="5"/>
        <v>2850</v>
      </c>
      <c r="F120" s="537">
        <f t="shared" si="0"/>
        <v>150</v>
      </c>
      <c r="G120" s="537">
        <f t="shared" si="1"/>
        <v>95</v>
      </c>
      <c r="H120" s="537">
        <f t="shared" si="2"/>
        <v>245</v>
      </c>
      <c r="I120" s="537">
        <f t="shared" si="3"/>
        <v>497.60999999999996</v>
      </c>
      <c r="J120" s="537">
        <f t="shared" si="6"/>
        <v>252.60999999999996</v>
      </c>
    </row>
    <row r="121" spans="4:10">
      <c r="D121" s="461"/>
      <c r="E121" s="518">
        <f t="shared" si="5"/>
        <v>2900</v>
      </c>
      <c r="F121" s="537">
        <f t="shared" si="0"/>
        <v>150</v>
      </c>
      <c r="G121" s="537">
        <f t="shared" si="1"/>
        <v>96.666666666666671</v>
      </c>
      <c r="H121" s="537">
        <f t="shared" si="2"/>
        <v>246.66666666666669</v>
      </c>
      <c r="I121" s="537">
        <f t="shared" si="3"/>
        <v>506.33999999999992</v>
      </c>
      <c r="J121" s="537">
        <f t="shared" si="6"/>
        <v>259.67333333333323</v>
      </c>
    </row>
    <row r="122" spans="4:10">
      <c r="E122" s="518">
        <f t="shared" si="5"/>
        <v>2950</v>
      </c>
      <c r="F122" s="537">
        <f t="shared" si="0"/>
        <v>150</v>
      </c>
      <c r="G122" s="537">
        <f t="shared" si="1"/>
        <v>98.333333333333329</v>
      </c>
      <c r="H122" s="537">
        <f t="shared" si="2"/>
        <v>248.33333333333331</v>
      </c>
      <c r="I122" s="537">
        <f t="shared" si="3"/>
        <v>515.06999999999994</v>
      </c>
      <c r="J122" s="537">
        <f t="shared" si="6"/>
        <v>266.73666666666662</v>
      </c>
    </row>
    <row r="123" spans="4:10">
      <c r="E123" s="518">
        <f t="shared" si="5"/>
        <v>3000</v>
      </c>
      <c r="F123" s="537">
        <f t="shared" si="0"/>
        <v>150</v>
      </c>
      <c r="G123" s="537">
        <f t="shared" si="1"/>
        <v>100</v>
      </c>
      <c r="H123" s="537">
        <f t="shared" si="2"/>
        <v>250</v>
      </c>
      <c r="I123" s="537">
        <f t="shared" si="3"/>
        <v>523.79999999999995</v>
      </c>
      <c r="J123" s="537">
        <f t="shared" si="6"/>
        <v>273.79999999999995</v>
      </c>
    </row>
    <row r="124" spans="4:10">
      <c r="E124" s="518">
        <f t="shared" si="5"/>
        <v>3050</v>
      </c>
      <c r="F124" s="537">
        <f t="shared" si="0"/>
        <v>150</v>
      </c>
      <c r="G124" s="537">
        <f t="shared" si="1"/>
        <v>101.66666666666667</v>
      </c>
      <c r="H124" s="537">
        <f t="shared" si="2"/>
        <v>251.66666666666669</v>
      </c>
      <c r="I124" s="537">
        <f t="shared" si="3"/>
        <v>532.53</v>
      </c>
      <c r="J124" s="537">
        <f t="shared" si="6"/>
        <v>280.86333333333329</v>
      </c>
    </row>
    <row r="125" spans="4:10">
      <c r="E125" s="518">
        <f t="shared" si="5"/>
        <v>3100</v>
      </c>
      <c r="F125" s="537">
        <f t="shared" si="0"/>
        <v>150</v>
      </c>
      <c r="G125" s="537">
        <f t="shared" si="1"/>
        <v>103.33333333333333</v>
      </c>
      <c r="H125" s="537">
        <f t="shared" si="2"/>
        <v>253.33333333333331</v>
      </c>
      <c r="I125" s="537">
        <f t="shared" si="3"/>
        <v>541.25999999999988</v>
      </c>
      <c r="J125" s="537">
        <f t="shared" si="6"/>
        <v>287.92666666666656</v>
      </c>
    </row>
    <row r="126" spans="4:10">
      <c r="E126" s="518">
        <f t="shared" si="5"/>
        <v>3150</v>
      </c>
      <c r="F126" s="537">
        <f t="shared" si="0"/>
        <v>150</v>
      </c>
      <c r="G126" s="537">
        <f t="shared" si="1"/>
        <v>105</v>
      </c>
      <c r="H126" s="537">
        <f t="shared" si="2"/>
        <v>255</v>
      </c>
      <c r="I126" s="537">
        <f t="shared" si="3"/>
        <v>549.9899999999999</v>
      </c>
      <c r="J126" s="537">
        <f t="shared" si="6"/>
        <v>294.9899999999999</v>
      </c>
    </row>
    <row r="127" spans="4:10">
      <c r="E127" s="518">
        <f t="shared" si="5"/>
        <v>3200</v>
      </c>
      <c r="F127" s="537">
        <f t="shared" si="0"/>
        <v>150</v>
      </c>
      <c r="G127" s="537">
        <f t="shared" si="1"/>
        <v>106.66666666666667</v>
      </c>
      <c r="H127" s="537">
        <f t="shared" si="2"/>
        <v>256.66666666666669</v>
      </c>
      <c r="I127" s="537">
        <f t="shared" si="3"/>
        <v>558.71999999999991</v>
      </c>
      <c r="J127" s="537">
        <f t="shared" si="6"/>
        <v>302.05333333333323</v>
      </c>
    </row>
    <row r="128" spans="4:10">
      <c r="E128" s="518">
        <f t="shared" si="5"/>
        <v>3250</v>
      </c>
      <c r="F128" s="537">
        <f t="shared" si="0"/>
        <v>150</v>
      </c>
      <c r="G128" s="537">
        <f t="shared" si="1"/>
        <v>108.33333333333333</v>
      </c>
      <c r="H128" s="537">
        <f t="shared" si="2"/>
        <v>258.33333333333331</v>
      </c>
      <c r="I128" s="537">
        <f t="shared" si="3"/>
        <v>567.44999999999993</v>
      </c>
      <c r="J128" s="537">
        <f t="shared" si="6"/>
        <v>309.11666666666662</v>
      </c>
    </row>
    <row r="129" spans="5:10">
      <c r="E129" s="518">
        <f t="shared" si="5"/>
        <v>3300</v>
      </c>
      <c r="F129" s="537">
        <f t="shared" ref="F129:F143" si="7">$C$52</f>
        <v>150</v>
      </c>
      <c r="G129" s="537">
        <f t="shared" ref="G129:G143" si="8">E129*$C$53</f>
        <v>110</v>
      </c>
      <c r="H129" s="537">
        <f t="shared" ref="H129:H143" si="9">F129+G129</f>
        <v>260</v>
      </c>
      <c r="I129" s="537">
        <f t="shared" ref="I129:I143" si="10">E129*$C$54</f>
        <v>576.17999999999995</v>
      </c>
      <c r="J129" s="537">
        <f t="shared" ref="J129:J143" si="11">I129-H129</f>
        <v>316.17999999999995</v>
      </c>
    </row>
    <row r="130" spans="5:10">
      <c r="E130" s="518">
        <f t="shared" ref="E130:E131" si="12">E129+$C$57</f>
        <v>3350</v>
      </c>
      <c r="F130" s="537">
        <f t="shared" si="7"/>
        <v>150</v>
      </c>
      <c r="G130" s="537">
        <f t="shared" si="8"/>
        <v>111.66666666666667</v>
      </c>
      <c r="H130" s="537">
        <f t="shared" si="9"/>
        <v>261.66666666666669</v>
      </c>
      <c r="I130" s="537">
        <f t="shared" si="10"/>
        <v>584.91</v>
      </c>
      <c r="J130" s="537">
        <f t="shared" si="11"/>
        <v>323.24333333333328</v>
      </c>
    </row>
    <row r="131" spans="5:10">
      <c r="E131" s="518">
        <f t="shared" si="12"/>
        <v>3400</v>
      </c>
      <c r="F131" s="537">
        <f t="shared" si="7"/>
        <v>150</v>
      </c>
      <c r="G131" s="537">
        <f t="shared" si="8"/>
        <v>113.33333333333333</v>
      </c>
      <c r="H131" s="537">
        <f t="shared" si="9"/>
        <v>263.33333333333331</v>
      </c>
      <c r="I131" s="537">
        <f t="shared" si="10"/>
        <v>593.63999999999987</v>
      </c>
      <c r="J131" s="537">
        <f t="shared" si="11"/>
        <v>330.30666666666656</v>
      </c>
    </row>
    <row r="132" spans="5:10">
      <c r="E132" s="518">
        <f>E131+$C$57</f>
        <v>3450</v>
      </c>
      <c r="F132" s="537">
        <f t="shared" si="7"/>
        <v>150</v>
      </c>
      <c r="G132" s="537">
        <f t="shared" si="8"/>
        <v>115</v>
      </c>
      <c r="H132" s="537">
        <f t="shared" si="9"/>
        <v>265</v>
      </c>
      <c r="I132" s="537">
        <f t="shared" si="10"/>
        <v>602.36999999999989</v>
      </c>
      <c r="J132" s="537">
        <f t="shared" si="11"/>
        <v>337.36999999999989</v>
      </c>
    </row>
    <row r="133" spans="5:10">
      <c r="E133" s="518">
        <f t="shared" ref="E133:E143" si="13">E132+$C$57</f>
        <v>3500</v>
      </c>
      <c r="F133" s="537">
        <f t="shared" si="7"/>
        <v>150</v>
      </c>
      <c r="G133" s="537">
        <f t="shared" si="8"/>
        <v>116.66666666666667</v>
      </c>
      <c r="H133" s="537">
        <f t="shared" si="9"/>
        <v>266.66666666666669</v>
      </c>
      <c r="I133" s="537">
        <f t="shared" si="10"/>
        <v>611.09999999999991</v>
      </c>
      <c r="J133" s="537">
        <f t="shared" si="11"/>
        <v>344.43333333333322</v>
      </c>
    </row>
    <row r="134" spans="5:10">
      <c r="E134" s="518">
        <f t="shared" si="13"/>
        <v>3550</v>
      </c>
      <c r="F134" s="537">
        <f t="shared" si="7"/>
        <v>150</v>
      </c>
      <c r="G134" s="537">
        <f t="shared" si="8"/>
        <v>118.33333333333333</v>
      </c>
      <c r="H134" s="537">
        <f t="shared" si="9"/>
        <v>268.33333333333331</v>
      </c>
      <c r="I134" s="537">
        <f t="shared" si="10"/>
        <v>619.82999999999993</v>
      </c>
      <c r="J134" s="537">
        <f t="shared" si="11"/>
        <v>351.49666666666661</v>
      </c>
    </row>
    <row r="135" spans="5:10">
      <c r="E135" s="518">
        <f t="shared" si="13"/>
        <v>3600</v>
      </c>
      <c r="F135" s="537">
        <f t="shared" si="7"/>
        <v>150</v>
      </c>
      <c r="G135" s="537">
        <f t="shared" si="8"/>
        <v>120</v>
      </c>
      <c r="H135" s="537">
        <f t="shared" si="9"/>
        <v>270</v>
      </c>
      <c r="I135" s="537">
        <f t="shared" si="10"/>
        <v>628.55999999999995</v>
      </c>
      <c r="J135" s="537">
        <f t="shared" si="11"/>
        <v>358.55999999999995</v>
      </c>
    </row>
    <row r="136" spans="5:10">
      <c r="E136" s="518">
        <f t="shared" si="13"/>
        <v>3650</v>
      </c>
      <c r="F136" s="537">
        <f t="shared" si="7"/>
        <v>150</v>
      </c>
      <c r="G136" s="537">
        <f t="shared" si="8"/>
        <v>121.66666666666667</v>
      </c>
      <c r="H136" s="537">
        <f t="shared" si="9"/>
        <v>271.66666666666669</v>
      </c>
      <c r="I136" s="537">
        <f t="shared" si="10"/>
        <v>637.29</v>
      </c>
      <c r="J136" s="537">
        <f t="shared" si="11"/>
        <v>365.62333333333328</v>
      </c>
    </row>
    <row r="137" spans="5:10">
      <c r="E137" s="518">
        <f t="shared" si="13"/>
        <v>3700</v>
      </c>
      <c r="F137" s="537">
        <f t="shared" si="7"/>
        <v>150</v>
      </c>
      <c r="G137" s="537">
        <f t="shared" si="8"/>
        <v>123.33333333333333</v>
      </c>
      <c r="H137" s="537">
        <f t="shared" si="9"/>
        <v>273.33333333333331</v>
      </c>
      <c r="I137" s="537">
        <f t="shared" si="10"/>
        <v>646.01999999999987</v>
      </c>
      <c r="J137" s="537">
        <f t="shared" si="11"/>
        <v>372.68666666666655</v>
      </c>
    </row>
    <row r="138" spans="5:10">
      <c r="E138" s="518">
        <f t="shared" si="13"/>
        <v>3750</v>
      </c>
      <c r="F138" s="537">
        <f t="shared" si="7"/>
        <v>150</v>
      </c>
      <c r="G138" s="537">
        <f t="shared" si="8"/>
        <v>125</v>
      </c>
      <c r="H138" s="537">
        <f t="shared" si="9"/>
        <v>275</v>
      </c>
      <c r="I138" s="537">
        <f t="shared" si="10"/>
        <v>654.74999999999989</v>
      </c>
      <c r="J138" s="537">
        <f t="shared" si="11"/>
        <v>379.74999999999989</v>
      </c>
    </row>
    <row r="139" spans="5:10">
      <c r="E139" s="518">
        <f t="shared" si="13"/>
        <v>3800</v>
      </c>
      <c r="F139" s="537">
        <f t="shared" si="7"/>
        <v>150</v>
      </c>
      <c r="G139" s="537">
        <f t="shared" si="8"/>
        <v>126.66666666666667</v>
      </c>
      <c r="H139" s="537">
        <f t="shared" si="9"/>
        <v>276.66666666666669</v>
      </c>
      <c r="I139" s="537">
        <f t="shared" si="10"/>
        <v>663.4799999999999</v>
      </c>
      <c r="J139" s="537">
        <f t="shared" si="11"/>
        <v>386.81333333333322</v>
      </c>
    </row>
    <row r="140" spans="5:10">
      <c r="E140" s="518">
        <f t="shared" si="13"/>
        <v>3850</v>
      </c>
      <c r="F140" s="537">
        <f t="shared" si="7"/>
        <v>150</v>
      </c>
      <c r="G140" s="537">
        <f t="shared" si="8"/>
        <v>128.33333333333334</v>
      </c>
      <c r="H140" s="537">
        <f t="shared" si="9"/>
        <v>278.33333333333337</v>
      </c>
      <c r="I140" s="537">
        <f t="shared" si="10"/>
        <v>672.20999999999992</v>
      </c>
      <c r="J140" s="537">
        <f t="shared" si="11"/>
        <v>393.87666666666655</v>
      </c>
    </row>
    <row r="141" spans="5:10">
      <c r="E141" s="518">
        <f t="shared" si="13"/>
        <v>3900</v>
      </c>
      <c r="F141" s="537">
        <f t="shared" si="7"/>
        <v>150</v>
      </c>
      <c r="G141" s="537">
        <f t="shared" si="8"/>
        <v>130</v>
      </c>
      <c r="H141" s="537">
        <f t="shared" si="9"/>
        <v>280</v>
      </c>
      <c r="I141" s="537">
        <f t="shared" si="10"/>
        <v>680.93999999999994</v>
      </c>
      <c r="J141" s="537">
        <f t="shared" si="11"/>
        <v>400.93999999999994</v>
      </c>
    </row>
    <row r="142" spans="5:10">
      <c r="E142" s="518">
        <f t="shared" si="13"/>
        <v>3950</v>
      </c>
      <c r="F142" s="537">
        <f t="shared" si="7"/>
        <v>150</v>
      </c>
      <c r="G142" s="537">
        <f t="shared" si="8"/>
        <v>131.66666666666666</v>
      </c>
      <c r="H142" s="537">
        <f t="shared" si="9"/>
        <v>281.66666666666663</v>
      </c>
      <c r="I142" s="537">
        <f t="shared" si="10"/>
        <v>689.67</v>
      </c>
      <c r="J142" s="537">
        <f t="shared" si="11"/>
        <v>408.00333333333333</v>
      </c>
    </row>
    <row r="143" spans="5:10">
      <c r="E143" s="518">
        <f t="shared" si="13"/>
        <v>4000</v>
      </c>
      <c r="F143" s="537">
        <f t="shared" si="7"/>
        <v>150</v>
      </c>
      <c r="G143" s="537">
        <f t="shared" si="8"/>
        <v>133.33333333333334</v>
      </c>
      <c r="H143" s="537">
        <f t="shared" si="9"/>
        <v>283.33333333333337</v>
      </c>
      <c r="I143" s="537">
        <f t="shared" si="10"/>
        <v>698.39999999999986</v>
      </c>
      <c r="J143" s="537">
        <f t="shared" si="11"/>
        <v>415.06666666666649</v>
      </c>
    </row>
    <row r="144" spans="5:10">
      <c r="E144" s="511"/>
    </row>
  </sheetData>
  <hyperlinks>
    <hyperlink ref="A1" location="HOME!A1" display="Back to Home" xr:uid="{00000000-0004-0000-0700-000000000000}"/>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HOME</vt:lpstr>
      <vt:lpstr>INSTRUCTIONS</vt:lpstr>
      <vt:lpstr>A1. BASE MODEL INPUTS</vt:lpstr>
      <vt:lpstr>A2. BASE MODEL</vt:lpstr>
      <vt:lpstr>A3. BASE GRAPHS</vt:lpstr>
      <vt:lpstr>B1. MASTER AGENT INPUTS</vt:lpstr>
      <vt:lpstr>B2. MASTER AGENT MODEL</vt:lpstr>
      <vt:lpstr>B3. MASTER AGENT GRAPHS</vt:lpstr>
      <vt:lpstr>B4. AGENT BREAK EVEN</vt:lpstr>
      <vt:lpstr>'A1. BASE MODEL INPUTS'!Print_Area</vt:lpstr>
      <vt:lpstr>'B1. MASTER AGENT INPUTS'!Print_Area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Winiecki;Rashmi Pillai;Peter Zetterli</dc:creator>
  <cp:keywords>CGAP;Agents;Frontier agents</cp:keywords>
  <cp:lastModifiedBy>Rashmi Pillai</cp:lastModifiedBy>
  <cp:lastPrinted>2018-05-11T07:51:37Z</cp:lastPrinted>
  <dcterms:created xsi:type="dcterms:W3CDTF">2016-12-27T20:10:44Z</dcterms:created>
  <dcterms:modified xsi:type="dcterms:W3CDTF">2018-06-10T20:57:18Z</dcterms:modified>
</cp:coreProperties>
</file>